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ttps://cmhcschl-my.sharepoint.com/personal/ccasault_cmhc-schl_gc_ca/Documents/My P Drive/Documents/CMHC/Program rename AHF ACLP NHCF RCFI/new files from studio/apartment-construction-loan-program/"/>
    </mc:Choice>
  </mc:AlternateContent>
  <xr:revisionPtr revIDLastSave="0" documentId="8_{3C28F8A1-35CE-42B4-BFCB-1FB2017F6E7D}" xr6:coauthVersionLast="47" xr6:coauthVersionMax="47" xr10:uidLastSave="{00000000-0000-0000-0000-000000000000}"/>
  <workbookProtection workbookAlgorithmName="SHA-512" workbookHashValue="eLQOvwx4QKPuz8sBvOJRt4VoR3my/HhAKo2ZwNgJp+qgm9mzFq2euGD8hHaIDNsI2702bTTAIHi8YZamjcS/NA==" workbookSaltValue="CeeXR6J8vFCYvEUYNX7dCA==" workbookSpinCount="100000" lockStructure="1"/>
  <bookViews>
    <workbookView xWindow="-9780" yWindow="-21710" windowWidth="38620" windowHeight="21220" firstSheet="1" activeTab="1" xr2:uid="{00000000-000D-0000-FFFF-FFFF00000000}"/>
  </bookViews>
  <sheets>
    <sheet name=" Summary" sheetId="9" state="hidden" r:id="rId1"/>
    <sheet name="Page couverture" sheetId="12" r:id="rId2"/>
    <sheet name="Budget de l'ensemble" sheetId="8" r:id="rId3"/>
    <sheet name="Portion résidentielle" sheetId="6" r:id="rId4"/>
    <sheet name="Portion non résidentielle" sheetId="7" r:id="rId5"/>
    <sheet name="Admissibilité et rés. sociaux" sheetId="11" r:id="rId6"/>
    <sheet name="Mortg Calc" sheetId="3" state="hidden" r:id="rId7"/>
  </sheets>
  <externalReferences>
    <externalReference r:id="rId8"/>
  </externalReferences>
  <definedNames>
    <definedName name="_xlnm.Print_Area" localSheetId="5">'Admissibilité et rés. sociaux'!$A$1:$J$92</definedName>
    <definedName name="_xlnm.Print_Area" localSheetId="2">'Budget de l''ensemble'!$A$1:$H$37</definedName>
    <definedName name="_xlnm.Print_Area" localSheetId="6">'Mortg Calc'!$A$1:$I$12</definedName>
    <definedName name="_xlnm.Print_Area" localSheetId="4">'Portion non résidentielle'!$A$1:$M$94</definedName>
    <definedName name="_xlnm.Print_Area" localSheetId="3">'Portion résidentielle'!$A$1:$O$131</definedName>
    <definedName name="Response">#REF!</definedName>
    <definedName name="solver_eng" localSheetId="3" hidden="1">1</definedName>
    <definedName name="solver_neg" localSheetId="3" hidden="1">1</definedName>
    <definedName name="solver_num" localSheetId="3" hidden="1">0</definedName>
    <definedName name="solver_opt" localSheetId="3" hidden="1">'Portion résidentielle'!$I$109</definedName>
    <definedName name="solver_typ" localSheetId="3" hidden="1">1</definedName>
    <definedName name="solver_val" localSheetId="3" hidden="1">0</definedName>
    <definedName name="solver_ver" localSheetId="3"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6" l="1"/>
  <c r="G20" i="6"/>
  <c r="G21" i="6"/>
  <c r="G22" i="6"/>
  <c r="G23" i="6"/>
  <c r="G24" i="6"/>
  <c r="G25" i="6"/>
  <c r="G26" i="6"/>
  <c r="G19" i="6"/>
  <c r="G27" i="6" l="1"/>
  <c r="H79" i="11"/>
  <c r="E18" i="7" l="1"/>
  <c r="E28" i="8"/>
  <c r="E32" i="8" s="1"/>
  <c r="H83" i="11"/>
  <c r="H85" i="11"/>
  <c r="G77" i="7"/>
  <c r="G76" i="7"/>
  <c r="C50" i="7"/>
  <c r="C144" i="6"/>
  <c r="C145" i="6"/>
  <c r="G33" i="6"/>
  <c r="G32" i="6"/>
  <c r="G31" i="6"/>
  <c r="G80" i="6"/>
  <c r="G81" i="6" s="1"/>
  <c r="I81" i="6" s="1"/>
  <c r="I78" i="6"/>
  <c r="G72" i="6"/>
  <c r="I70" i="6"/>
  <c r="G69" i="6"/>
  <c r="I69" i="6" s="1"/>
  <c r="G68" i="6"/>
  <c r="I68" i="6" s="1"/>
  <c r="D60" i="6"/>
  <c r="D58" i="6"/>
  <c r="I97" i="6" s="1"/>
  <c r="C58" i="6"/>
  <c r="G57" i="6"/>
  <c r="I57" i="6"/>
  <c r="G56" i="6"/>
  <c r="I56" i="6" s="1"/>
  <c r="H55" i="6"/>
  <c r="G55" i="6"/>
  <c r="I55" i="6" s="1"/>
  <c r="G54" i="6"/>
  <c r="I54" i="6" s="1"/>
  <c r="H53" i="6"/>
  <c r="G53" i="6"/>
  <c r="S53" i="6" s="1"/>
  <c r="G52" i="6"/>
  <c r="H51" i="6"/>
  <c r="G51" i="6"/>
  <c r="S51" i="6" s="1"/>
  <c r="G50" i="6"/>
  <c r="H49" i="6"/>
  <c r="G49" i="6"/>
  <c r="G48" i="6"/>
  <c r="T48" i="6" s="1"/>
  <c r="H47" i="6"/>
  <c r="G47" i="6"/>
  <c r="I47" i="6" s="1"/>
  <c r="G46" i="6"/>
  <c r="I46" i="6"/>
  <c r="H45" i="6"/>
  <c r="G45" i="6"/>
  <c r="I45" i="6" s="1"/>
  <c r="G44" i="6"/>
  <c r="K43" i="6"/>
  <c r="K48" i="6" s="1"/>
  <c r="H43" i="6"/>
  <c r="G43" i="6"/>
  <c r="I43" i="6" s="1"/>
  <c r="G42" i="6"/>
  <c r="S42" i="6" s="1"/>
  <c r="H41" i="6"/>
  <c r="G41" i="6"/>
  <c r="I41" i="6" s="1"/>
  <c r="T40" i="6"/>
  <c r="T49" i="6" s="1"/>
  <c r="S40" i="6"/>
  <c r="S45" i="6" s="1"/>
  <c r="R40" i="6"/>
  <c r="R46" i="6" s="1"/>
  <c r="F33" i="6"/>
  <c r="F20" i="6"/>
  <c r="F25" i="6"/>
  <c r="I80" i="6"/>
  <c r="G71" i="6"/>
  <c r="I71" i="6" s="1"/>
  <c r="S48" i="6"/>
  <c r="S46" i="6"/>
  <c r="T54" i="6"/>
  <c r="H57" i="6"/>
  <c r="I87" i="6"/>
  <c r="I48" i="6"/>
  <c r="I116" i="6"/>
  <c r="T41" i="6"/>
  <c r="S47" i="6"/>
  <c r="I52" i="6"/>
  <c r="R55" i="6"/>
  <c r="S56" i="6"/>
  <c r="S54" i="6"/>
  <c r="I49" i="6"/>
  <c r="K29" i="11"/>
  <c r="K28" i="11"/>
  <c r="K26" i="11"/>
  <c r="K23" i="11"/>
  <c r="K21" i="11"/>
  <c r="K19" i="11"/>
  <c r="K17" i="11"/>
  <c r="E15" i="7"/>
  <c r="H53" i="11"/>
  <c r="H55" i="11"/>
  <c r="C38" i="7"/>
  <c r="C37" i="7"/>
  <c r="B30" i="7"/>
  <c r="B31" i="7"/>
  <c r="B29" i="7"/>
  <c r="C108" i="7"/>
  <c r="C107" i="7"/>
  <c r="B38" i="7"/>
  <c r="B37" i="7"/>
  <c r="E25" i="8"/>
  <c r="H70" i="11"/>
  <c r="H67" i="11"/>
  <c r="H59" i="11"/>
  <c r="H47" i="11"/>
  <c r="H43" i="11"/>
  <c r="H38" i="11"/>
  <c r="C36" i="7"/>
  <c r="C39" i="7" s="1"/>
  <c r="G61" i="7"/>
  <c r="C31" i="7"/>
  <c r="C32" i="7" s="1"/>
  <c r="G48" i="7"/>
  <c r="G47" i="7"/>
  <c r="G46" i="7"/>
  <c r="G45" i="7"/>
  <c r="G50" i="7" s="1"/>
  <c r="D50" i="7"/>
  <c r="B8" i="9"/>
  <c r="E9" i="3"/>
  <c r="H3" i="3" s="1"/>
  <c r="E10" i="3"/>
  <c r="R50" i="6" l="1"/>
  <c r="R52" i="6"/>
  <c r="R41" i="6"/>
  <c r="S44" i="6"/>
  <c r="S49" i="6"/>
  <c r="I51" i="6"/>
  <c r="G83" i="7"/>
  <c r="G84" i="7"/>
  <c r="G85" i="7" s="1"/>
  <c r="G86" i="7" s="1"/>
  <c r="R45" i="6"/>
  <c r="S50" i="6"/>
  <c r="G34" i="6"/>
  <c r="I115" i="6" s="1"/>
  <c r="H88" i="11"/>
  <c r="C59" i="6"/>
  <c r="E34" i="8"/>
  <c r="E36" i="8" s="1"/>
  <c r="G73" i="6"/>
  <c r="I73" i="6" s="1"/>
  <c r="T42" i="6"/>
  <c r="S41" i="6"/>
  <c r="R44" i="6"/>
  <c r="T47" i="6"/>
  <c r="K47" i="6"/>
  <c r="D21" i="7"/>
  <c r="E21" i="7" s="1"/>
  <c r="Q41" i="6"/>
  <c r="Q48" i="6"/>
  <c r="Q50" i="6"/>
  <c r="Q40" i="6"/>
  <c r="Q56" i="6"/>
  <c r="Q43" i="6"/>
  <c r="Q46" i="6"/>
  <c r="Q51" i="6"/>
  <c r="E11" i="3"/>
  <c r="I118" i="6"/>
  <c r="H90" i="11"/>
  <c r="Q49" i="6"/>
  <c r="G52" i="7"/>
  <c r="G53" i="7" s="1"/>
  <c r="G75" i="7"/>
  <c r="I107" i="6"/>
  <c r="I117" i="6" s="1"/>
  <c r="Q52" i="6"/>
  <c r="Q42" i="6"/>
  <c r="R53" i="6"/>
  <c r="I42" i="6"/>
  <c r="T46" i="6"/>
  <c r="I93" i="6"/>
  <c r="Q54" i="6"/>
  <c r="Q45" i="6"/>
  <c r="H58" i="6"/>
  <c r="R48" i="6"/>
  <c r="R56" i="6"/>
  <c r="Q55" i="6"/>
  <c r="T52" i="6"/>
  <c r="T44" i="6"/>
  <c r="T55" i="6"/>
  <c r="T45" i="6"/>
  <c r="F32" i="6"/>
  <c r="F21" i="6"/>
  <c r="F34" i="6"/>
  <c r="F24" i="6"/>
  <c r="S55" i="6"/>
  <c r="F27" i="6"/>
  <c r="I90" i="6"/>
  <c r="S52" i="6"/>
  <c r="R43" i="6"/>
  <c r="I95" i="6"/>
  <c r="R54" i="6"/>
  <c r="Q44" i="6"/>
  <c r="I53" i="6"/>
  <c r="I44" i="6"/>
  <c r="T51" i="6"/>
  <c r="T43" i="6"/>
  <c r="R47" i="6"/>
  <c r="Q47" i="6"/>
  <c r="I96" i="6"/>
  <c r="S43" i="6"/>
  <c r="S57" i="6" s="1"/>
  <c r="I50" i="6"/>
  <c r="I91" i="6"/>
  <c r="T53" i="6"/>
  <c r="T56" i="6"/>
  <c r="F26" i="6"/>
  <c r="F19" i="6"/>
  <c r="D61" i="6"/>
  <c r="R51" i="6"/>
  <c r="R42" i="6"/>
  <c r="I88" i="6"/>
  <c r="T50" i="6"/>
  <c r="Q53" i="6"/>
  <c r="I89" i="6"/>
  <c r="I94" i="6"/>
  <c r="R49" i="6"/>
  <c r="F22" i="6"/>
  <c r="F30" i="6"/>
  <c r="F23" i="6"/>
  <c r="G74" i="6" l="1"/>
  <c r="I74" i="6" s="1"/>
  <c r="I58" i="6"/>
  <c r="C5" i="6"/>
  <c r="C4" i="6"/>
  <c r="R57" i="6"/>
  <c r="R58" i="6" s="1"/>
  <c r="Q57" i="6"/>
  <c r="K51" i="6" s="1"/>
  <c r="K52" i="6" s="1"/>
  <c r="G4" i="7" s="1"/>
  <c r="S58" i="6"/>
  <c r="B13" i="9"/>
  <c r="I64" i="6"/>
  <c r="I65" i="6" s="1"/>
  <c r="I83" i="6" s="1"/>
  <c r="G68" i="7"/>
  <c r="G67" i="7"/>
  <c r="B4" i="9"/>
  <c r="G78" i="7"/>
  <c r="G79" i="7" s="1"/>
  <c r="B6" i="9"/>
  <c r="C4" i="8"/>
  <c r="D5" i="11"/>
  <c r="I110" i="6"/>
  <c r="C5" i="7"/>
  <c r="D4" i="11"/>
  <c r="C5" i="8"/>
  <c r="C4" i="7"/>
  <c r="G89" i="7"/>
  <c r="C9" i="6"/>
  <c r="B18" i="9"/>
  <c r="C9" i="8"/>
  <c r="C9" i="7"/>
  <c r="D9" i="11"/>
  <c r="I92" i="6"/>
  <c r="H92" i="6" s="1"/>
  <c r="I119" i="6"/>
  <c r="I122" i="6"/>
  <c r="T57" i="6"/>
  <c r="G58" i="6"/>
  <c r="G59" i="6" s="1"/>
  <c r="K50" i="6"/>
  <c r="B12" i="9" l="1"/>
  <c r="G69" i="7"/>
  <c r="G71" i="7" s="1"/>
  <c r="C106" i="7" s="1"/>
  <c r="C109" i="7" s="1"/>
  <c r="G90" i="7" s="1"/>
  <c r="G91" i="7" s="1"/>
  <c r="B10" i="9"/>
  <c r="G4" i="6"/>
  <c r="F4" i="8"/>
  <c r="H4" i="11"/>
  <c r="I98" i="6"/>
  <c r="I99" i="6"/>
  <c r="G3" i="7"/>
  <c r="H3" i="11"/>
  <c r="F3" i="8"/>
  <c r="G3" i="6"/>
  <c r="T58" i="6"/>
  <c r="B14" i="9"/>
  <c r="F5" i="8"/>
  <c r="G5" i="7"/>
  <c r="G5" i="6"/>
  <c r="H5" i="11"/>
  <c r="G80" i="7"/>
  <c r="G81" i="7" s="1"/>
  <c r="G6" i="6"/>
  <c r="H6" i="11"/>
  <c r="G6" i="7"/>
  <c r="F6" i="8"/>
  <c r="I111" i="6"/>
  <c r="C3" i="8"/>
  <c r="B2" i="9" l="1"/>
  <c r="F7" i="8"/>
  <c r="G7" i="7"/>
  <c r="G7" i="6"/>
  <c r="H7" i="11"/>
  <c r="I100" i="6"/>
  <c r="I102" i="6" s="1"/>
  <c r="C143" i="6" s="1"/>
  <c r="C146" i="6" s="1"/>
  <c r="I123" i="6" s="1"/>
  <c r="I124" i="6" s="1"/>
  <c r="D3" i="11" l="1"/>
  <c r="G16" i="11" s="1"/>
  <c r="H16" i="11" s="1"/>
  <c r="K16" i="11" s="1"/>
  <c r="K30" i="11" s="1"/>
  <c r="K32" i="11" s="1"/>
  <c r="G32" i="11" s="1"/>
  <c r="C3" i="7"/>
  <c r="C3" i="6"/>
  <c r="I112" i="6"/>
  <c r="I113" i="6" s="1"/>
  <c r="D7" i="11" l="1"/>
  <c r="C7" i="8"/>
  <c r="C7" i="7"/>
  <c r="C7" i="6"/>
  <c r="B16" i="9"/>
</calcChain>
</file>

<file path=xl/sharedStrings.xml><?xml version="1.0" encoding="utf-8"?>
<sst xmlns="http://schemas.openxmlformats.org/spreadsheetml/2006/main" count="410" uniqueCount="300">
  <si>
    <t>Total</t>
  </si>
  <si>
    <t>Amortization</t>
  </si>
  <si>
    <t>Principal</t>
  </si>
  <si>
    <t>Interest</t>
  </si>
  <si>
    <t>Pmts Per Year</t>
  </si>
  <si>
    <t>(Use to override the Calulated Payment)</t>
  </si>
  <si>
    <t>Interest Factor</t>
  </si>
  <si>
    <t>Overide:</t>
  </si>
  <si>
    <t>Calculated Pmt</t>
  </si>
  <si>
    <t>(years)</t>
  </si>
  <si>
    <t>Term</t>
  </si>
  <si>
    <t>(Number of Payments a year)</t>
  </si>
  <si>
    <t>Payment Freq</t>
  </si>
  <si>
    <t>(2=Semi Annul, 4=Quarterly, 12=Monthly)</t>
  </si>
  <si>
    <t>Comp Frequency</t>
  </si>
  <si>
    <t>over term</t>
  </si>
  <si>
    <t>Total of All Payments:</t>
  </si>
  <si>
    <t xml:space="preserve"> </t>
  </si>
  <si>
    <t>Mortgage  Calculator</t>
  </si>
  <si>
    <t>Test 1</t>
  </si>
  <si>
    <t>Test 2</t>
  </si>
  <si>
    <t>Total Project DCR</t>
  </si>
  <si>
    <t>Total Project LTC</t>
  </si>
  <si>
    <t>Total Loan</t>
  </si>
  <si>
    <t>90% PGI Test</t>
  </si>
  <si>
    <t>80% of HHI Test</t>
  </si>
  <si>
    <t>90% of HHI Test</t>
  </si>
  <si>
    <t>70% of HHI Test</t>
  </si>
  <si>
    <t>20% of Units at Median HHI Test</t>
  </si>
  <si>
    <t>`</t>
  </si>
  <si>
    <t>Points</t>
  </si>
  <si>
    <t>Eligibility Criteria</t>
  </si>
  <si>
    <t>Social Outcome Score</t>
  </si>
  <si>
    <t>Test 3</t>
  </si>
  <si>
    <t>Type de logement</t>
  </si>
  <si>
    <t>RÉSUMÉ</t>
  </si>
  <si>
    <t>Montant total du prêt</t>
  </si>
  <si>
    <t>20 % des log. au RM médian</t>
  </si>
  <si>
    <t>90 % du RM</t>
  </si>
  <si>
    <t>90 % du RBP</t>
  </si>
  <si>
    <t>80 % du RM</t>
  </si>
  <si>
    <t>70 % du RM</t>
  </si>
  <si>
    <t>Pointage des résultats sociaux</t>
  </si>
  <si>
    <t>Coûts essentiels</t>
  </si>
  <si>
    <t>Coûts accessoires</t>
  </si>
  <si>
    <t>Charges de financement</t>
  </si>
  <si>
    <t xml:space="preserve">TVH </t>
  </si>
  <si>
    <t>Divers et coussin</t>
  </si>
  <si>
    <t>Autre (décrire)</t>
  </si>
  <si>
    <t>Budget total (utilisations)</t>
  </si>
  <si>
    <t>Autres sources de financement</t>
  </si>
  <si>
    <t>Autre financement (décrire)</t>
  </si>
  <si>
    <t>Financement par prêt</t>
  </si>
  <si>
    <t>TVH</t>
  </si>
  <si>
    <t>Sources de financement</t>
  </si>
  <si>
    <t>Mise de fonds en argent du propriétaire</t>
  </si>
  <si>
    <t>Mise en fonds en argent du propriétaire</t>
  </si>
  <si>
    <t>Mise de fonds en terrain</t>
  </si>
  <si>
    <t>MENSUEL</t>
  </si>
  <si>
    <t>Studio – abordable</t>
  </si>
  <si>
    <t>Studio – marché</t>
  </si>
  <si>
    <t>1 chambre – marché</t>
  </si>
  <si>
    <t>1 chambre – abordable</t>
  </si>
  <si>
    <t>1 chambre, coin détente – marché</t>
  </si>
  <si>
    <t>1 chambre, coin détente – abordable</t>
  </si>
  <si>
    <t>2 chambres – marché</t>
  </si>
  <si>
    <t>2 chambres – abordable</t>
  </si>
  <si>
    <t>2 chambres, coin détente – marché</t>
  </si>
  <si>
    <t>3 chambres – marché</t>
  </si>
  <si>
    <t>3 chambres – abordable</t>
  </si>
  <si>
    <t>3 chambres, coin détente – marché</t>
  </si>
  <si>
    <t>3 chambres, coin détente – abordable</t>
  </si>
  <si>
    <t>4 chambres – marché</t>
  </si>
  <si>
    <t>4 chambres – abordable</t>
  </si>
  <si>
    <t>Revenu médian, RMR – StatCan *</t>
  </si>
  <si>
    <t>30 % du revenu total médian</t>
  </si>
  <si>
    <t>Test minimal 2 – 30 % x revenu médian</t>
  </si>
  <si>
    <t>total médian)</t>
  </si>
  <si>
    <t>Loyer maximal pour le test</t>
  </si>
  <si>
    <t>% de la superficie</t>
  </si>
  <si>
    <t>Nbre marché</t>
  </si>
  <si>
    <t>Revenu brut réel</t>
  </si>
  <si>
    <t>Stationnement</t>
  </si>
  <si>
    <t>ANNUEL</t>
  </si>
  <si>
    <t>Loyer</t>
  </si>
  <si>
    <t>Buanderie</t>
  </si>
  <si>
    <t>4. Autres produits</t>
  </si>
  <si>
    <t>Total, portion résidentielle</t>
  </si>
  <si>
    <t>Moins : logements inoccupés et créances irrécouvrables</t>
  </si>
  <si>
    <t>Taxes municipales</t>
  </si>
  <si>
    <t>Assurances</t>
  </si>
  <si>
    <t>Chauffage</t>
  </si>
  <si>
    <t>Électricité</t>
  </si>
  <si>
    <t>Eau</t>
  </si>
  <si>
    <t>Réparations et entretien</t>
  </si>
  <si>
    <t>Revenu brut réel (RBR) total</t>
  </si>
  <si>
    <t>Autres produits (décrire)</t>
  </si>
  <si>
    <t>3. Produits accessoires</t>
  </si>
  <si>
    <t>Par log./an</t>
  </si>
  <si>
    <t>Coefficient de couverture de la dette (CCD)</t>
  </si>
  <si>
    <t>6. Calcul du coefficient de couverture de la dette (CCD) et du rapport prêt-coût (RPC)</t>
  </si>
  <si>
    <t>Prêt</t>
  </si>
  <si>
    <t>Rapport prêt-coût (RPC)</t>
  </si>
  <si>
    <t>Entrez ce montant à la cellule I125</t>
  </si>
  <si>
    <t>Mise de fonds additionnelle exigée du propriétaire pour satisfaire au CCD minimal</t>
  </si>
  <si>
    <t>Portion non résidentielle</t>
  </si>
  <si>
    <t>Valeur du terrain</t>
  </si>
  <si>
    <t>20 % de log. au RM médian</t>
  </si>
  <si>
    <t>Abordabilité</t>
  </si>
  <si>
    <t>Autres programmes gouvernementaux de financement des logements locatifs abordables</t>
  </si>
  <si>
    <t>Durée</t>
  </si>
  <si>
    <t>Ampleur</t>
  </si>
  <si>
    <t xml:space="preserve">Accessibilité </t>
  </si>
  <si>
    <t>Satisfaction ou dépassement des exigences locales</t>
  </si>
  <si>
    <t>Efficacité énergétique</t>
  </si>
  <si>
    <t>Viabilité</t>
  </si>
  <si>
    <t>Abordabilité – durée</t>
  </si>
  <si>
    <t>Abordabilité – ampleur</t>
  </si>
  <si>
    <t>Total des points</t>
  </si>
  <si>
    <t>Votre pointage</t>
  </si>
  <si>
    <t>Pointage</t>
  </si>
  <si>
    <t>21 ans ou plus</t>
  </si>
  <si>
    <t>Loyers représentant 90 % de 30 % du revenu médian</t>
  </si>
  <si>
    <t>Loyers représentant 80 % de 30 % du revenu médian</t>
  </si>
  <si>
    <t>Loyers représentant 70 % ou moins de 30 % du revenu médian</t>
  </si>
  <si>
    <t>Logements adaptables</t>
  </si>
  <si>
    <t>0= Non
2= Oui</t>
  </si>
  <si>
    <t>Logements de conception universelle</t>
  </si>
  <si>
    <t>Pourcentage de réduction</t>
  </si>
  <si>
    <t>Consommation énergétique nette zéro ou normes équivalentes de rendement</t>
  </si>
  <si>
    <t>Collaboration envisagée</t>
  </si>
  <si>
    <t>Partenariats</t>
  </si>
  <si>
    <t>0 = aucun
1 = 1 partenaire ou plus</t>
  </si>
  <si>
    <t>Cocher</t>
  </si>
  <si>
    <t>• Subventions</t>
  </si>
  <si>
    <t xml:space="preserve">• Approbations accélérées </t>
  </si>
  <si>
    <t>• Autre</t>
  </si>
  <si>
    <t>(fédéral, provincial, territorial ou municipal)</t>
  </si>
  <si>
    <t xml:space="preserve">0 = aucune forme de soutien
1  = 1 ou 2 formes de soutien
2 = 3 formes de soutien ou plus
</t>
  </si>
  <si>
    <t>• Exonération des contributions aux installations communautaires</t>
  </si>
  <si>
    <t>Don du terrain</t>
  </si>
  <si>
    <t>Oui</t>
  </si>
  <si>
    <t>0= Non
1= Oui</t>
  </si>
  <si>
    <t>Non</t>
  </si>
  <si>
    <t>Niveau</t>
  </si>
  <si>
    <t xml:space="preserve">Rapport prêt-coût admissible (en %) </t>
  </si>
  <si>
    <t>7. Mise de fonds exigée</t>
  </si>
  <si>
    <t>Mise de fonds additionnelle exigée du propriétaire pour satisfaire au RPC maximal</t>
  </si>
  <si>
    <t>Total des services publics</t>
  </si>
  <si>
    <t>Frais administratifs (%)</t>
  </si>
  <si>
    <t>Ajouter : recouvrements</t>
  </si>
  <si>
    <t>Nbre de locaux</t>
  </si>
  <si>
    <t>2. Locaux non résidentiels/commerciaux</t>
  </si>
  <si>
    <t>Moins : locaux inoccupés et créances irrécouvrables</t>
  </si>
  <si>
    <t>4. Calcul du coefficient de couverture de la dette (CCD) et du rapport prêt-coût (RPC)</t>
  </si>
  <si>
    <t>Versement hypothécaire (mensuel) C+I</t>
  </si>
  <si>
    <t>Versement hypothécaire (annuel) C+I</t>
  </si>
  <si>
    <t xml:space="preserve">CCD minimal admissible de 1,4  </t>
  </si>
  <si>
    <t>Rapport prêt-coût (RPC) pour la portion non résidentielle</t>
  </si>
  <si>
    <t xml:space="preserve">RPC maximal de 75 % pour portion non rés. </t>
  </si>
  <si>
    <t>5. Mise de fonds exigée</t>
  </si>
  <si>
    <t>Mise de fonds réelle exigée du propriétaire (montant le plus élevé)</t>
  </si>
  <si>
    <t>Entrez ce montant à la cellule G92</t>
  </si>
  <si>
    <t>Mise de fonds réelle exigée du propriétaire</t>
  </si>
  <si>
    <t>Test 4 – CCD minimal de 1,4 atteint pour la portion non résidentielle?</t>
  </si>
  <si>
    <t>Test 5 – Le rapport prêt-coût de la portion non résidentielle respecte-t-il la limite (75%)?</t>
  </si>
  <si>
    <t>Une partie non liée a-t-elle fait don du terrain?</t>
  </si>
  <si>
    <t>Honoraires de gestion (%)</t>
  </si>
  <si>
    <t>Proximité du transport en commun</t>
  </si>
  <si>
    <t>Aménagement axé sur le transport en commun</t>
  </si>
  <si>
    <t>Autres formes de transport en commun</t>
  </si>
  <si>
    <t>Total – autres sources</t>
  </si>
  <si>
    <t>Total – toutes les sources</t>
  </si>
  <si>
    <t>Coûts de financement</t>
  </si>
  <si>
    <t>Portion résidentielle, logements neufs : évaluation de la viabilité financière</t>
  </si>
  <si>
    <t>CCD de l’ensemble</t>
  </si>
  <si>
    <t>RPC de l’ensemble</t>
  </si>
  <si>
    <t>Critères d’admissibilité</t>
  </si>
  <si>
    <t>Coût total de l’ensemble</t>
  </si>
  <si>
    <t>1. Budget de l’ensemble</t>
  </si>
  <si>
    <t>Mise de fonds en argent du propriétaire (cellule I125 de l’onglet 'Portion résidentielle' + cellule G89 de l’onglet 'Portion non résidentielle')</t>
  </si>
  <si>
    <t>20 % abordables</t>
  </si>
  <si>
    <t xml:space="preserve">Ne peut être de zéro  </t>
  </si>
  <si>
    <t>Nbre de logements</t>
  </si>
  <si>
    <t>2. Analyse du revenu – Portion rés.</t>
  </si>
  <si>
    <t>2 chambres, coin détente – abordable</t>
  </si>
  <si>
    <t>Autre</t>
  </si>
  <si>
    <t>Nbre abordables</t>
  </si>
  <si>
    <t>Honoraires de gestion (% du RBR)</t>
  </si>
  <si>
    <t>Frais administratifs (% du RBR)</t>
  </si>
  <si>
    <t>Test 4 – Le RPC pour la portion résidentielle respecte-t-il la limite?</t>
  </si>
  <si>
    <t>Test 3 – Le CCD minimal de 1,1 pour la portion résidentielle est-il atteint?</t>
  </si>
  <si>
    <r>
      <t>Superf. (pi</t>
    </r>
    <r>
      <rPr>
        <u val="singleAccounting"/>
        <vertAlign val="superscript"/>
        <sz val="11"/>
        <color theme="1"/>
        <rFont val="Calibri"/>
        <family val="2"/>
        <scheme val="minor"/>
      </rPr>
      <t>2</t>
    </r>
    <r>
      <rPr>
        <u val="singleAccounting"/>
        <sz val="11"/>
        <color theme="1"/>
        <rFont val="Calibri"/>
        <family val="2"/>
        <scheme val="minor"/>
      </rPr>
      <t>)</t>
    </r>
  </si>
  <si>
    <t>Nombre de</t>
  </si>
  <si>
    <t>logements</t>
  </si>
  <si>
    <t xml:space="preserve">Loyer du </t>
  </si>
  <si>
    <t>marché (RBP)</t>
  </si>
  <si>
    <t>Loyer abord. en</t>
  </si>
  <si>
    <t>% du loy. marché</t>
  </si>
  <si>
    <t>*Revenu total médian selon le type de familles, par région</t>
  </si>
  <si>
    <t>Nbre min. de logements (arrondi)</t>
  </si>
  <si>
    <t>Logements satisfaisant au test</t>
  </si>
  <si>
    <t>% de logements satisfaisant au test</t>
  </si>
  <si>
    <t>Condition 20 % remplie?</t>
  </si>
  <si>
    <t>(30 % x  revenu</t>
  </si>
  <si>
    <t>Test 90 % satisfait?</t>
  </si>
  <si>
    <t>% du coût de l’ensemble pour la portion résidentielle</t>
  </si>
  <si>
    <t>Ampleur de l’abordabilité selon le pourcentage du RMM</t>
  </si>
  <si>
    <t>Taux d’inoccupation et de créances irrécouvrables (%)</t>
  </si>
  <si>
    <t>Espaces d’entreposage</t>
  </si>
  <si>
    <t>5. Charges d’exploitation</t>
  </si>
  <si>
    <t>Charges d’exploitation totales</t>
  </si>
  <si>
    <t>Revenu d’exploitation net</t>
  </si>
  <si>
    <t xml:space="preserve">Contactez la SCHL pour obtenir le taux d’intérêt indicatif approprié  </t>
  </si>
  <si>
    <t>Période d’amortissement du prêt (années)</t>
  </si>
  <si>
    <t xml:space="preserve">Période d’amortissement maximale de 50 ans </t>
  </si>
  <si>
    <t>Coût de l’ensemble</t>
  </si>
  <si>
    <t>RPC maximal (le RPC peut atteindre jusqu’à 100 % selon le pointage des résultats sociaux)</t>
  </si>
  <si>
    <t>Par log.</t>
  </si>
  <si>
    <t>métropolitaine (Toutes les familles de recensement) – StatCan</t>
  </si>
  <si>
    <t>Salaire – concierge</t>
  </si>
  <si>
    <t>Taux d’intérêt (+ 100 points de base)</t>
  </si>
  <si>
    <t>Versement mensuel exigé (C+I)</t>
  </si>
  <si>
    <t>Taux d’intérêt mensuel (%)</t>
  </si>
  <si>
    <t>Nombre de périodes (mois)</t>
  </si>
  <si>
    <t>Montant du prêt nécessaire</t>
  </si>
  <si>
    <t xml:space="preserve">% du coût de l’ensemble pour la portion non résidentielle </t>
  </si>
  <si>
    <t xml:space="preserve">  (Le coût de la portion non résidentielle ne peut dépasser 30 % du coût de l’ensemble)</t>
  </si>
  <si>
    <t xml:space="preserve">  (Les portions rés. et non rés. représentent 100 % du coût de l’ensemble)</t>
  </si>
  <si>
    <t>Taux d’inoccupation et de créances irrécouvrables</t>
  </si>
  <si>
    <t>3. Charges d’exploitation annuelles</t>
  </si>
  <si>
    <t>Taux d’intérêt</t>
  </si>
  <si>
    <t>Portion non résidentielle : évaluation de la viabilité financière</t>
  </si>
  <si>
    <r>
      <t>Superficie (pi</t>
    </r>
    <r>
      <rPr>
        <u val="singleAccounting"/>
        <vertAlign val="superscript"/>
        <sz val="11"/>
        <color theme="1"/>
        <rFont val="Calibri"/>
        <family val="2"/>
        <scheme val="minor"/>
      </rPr>
      <t>2</t>
    </r>
    <r>
      <rPr>
        <u val="singleAccounting"/>
        <sz val="11"/>
        <color theme="1"/>
        <rFont val="Calibri"/>
        <family val="2"/>
        <scheme val="minor"/>
      </rPr>
      <t>)</t>
    </r>
  </si>
  <si>
    <t>Conditions d’admissibilité</t>
  </si>
  <si>
    <t>Résultats de l’évaluation de la viabilité</t>
  </si>
  <si>
    <t xml:space="preserve">L’abordabilité sera maintenue pendant au moins dix ans </t>
  </si>
  <si>
    <t>Accès exempt d’obstacles</t>
  </si>
  <si>
    <t>L’accès à votre ensemble et à ses aires communes sera-t-il exempt d’obstacles?</t>
  </si>
  <si>
    <t>Pointage pour l’établissement des priorités</t>
  </si>
  <si>
    <t>10 ans (exigence minimale d’admissibilité)</t>
  </si>
  <si>
    <t>De 11 ans jusqu’à 15 ans</t>
  </si>
  <si>
    <t>De 16 ans jusqu’à 20 ans</t>
  </si>
  <si>
    <t>Loyers représentant 100 % de 30 % du revenu médian (exigence minimale d’admissibilité)</t>
  </si>
  <si>
    <t>20 % du nombre total de logements (exigence minimale d’admissibilité)</t>
  </si>
  <si>
    <t>De 6 à 10 logements de plus au-dessus de l’exigence d’admissibilité</t>
  </si>
  <si>
    <t>Plus de 10 logements de plus au-dessus de l’exigence d’admissibilité</t>
  </si>
  <si>
    <t xml:space="preserve">• Exonération des droits d’aménagement ou d’autres droits provinciaux/municipaux </t>
  </si>
  <si>
    <t>CCD obtenu dans votre feuille d’évaluation de la viabilité (l’ensemble doit avoir un CCD minimal de 1,1)</t>
  </si>
  <si>
    <t>Satisfaites-vous aux conditions d’admissibilité?</t>
  </si>
  <si>
    <t>En plus de satisfaire à l’exigence d’accessibilité minimale de 10 %, l’ensemble compte au moins deux logements adaptables.</t>
  </si>
  <si>
    <t>En plus de satisfaire à l’exigence d’accessibilité minimale de 10 %, l’ensemble compte au moins deux logements de conception universelle.</t>
  </si>
  <si>
    <t>Efficacité énergétique et gaz à effet de serre</t>
  </si>
  <si>
    <t>Autres formes de soutien public :</t>
  </si>
  <si>
    <t>L’ensemble offre l’accès à d’autres formes de transport en commun (aires de stationnement pour service de covoiturage, service de navette, lien direct au réseau de voies souterraines, etc.)</t>
  </si>
  <si>
    <t>Min.</t>
  </si>
  <si>
    <t>Max.</t>
  </si>
  <si>
    <t>Votre ensemble a-t-il été approuvé dans le cadre d’autres initiatives ou programmes publics de logement (fédéraux, provinciaux, territoriaux ou municipaux) qui offrent un soutien à la création de logements locatifs abordables et, le cas échéant, les loyers abordables seront-ils maintenus pendant au moins 10 ans? (Si la réponse est « oui », vous n’avez pas à répondre aux prochaines questions sur la durée et l’ampleur de l’abordabilité.)</t>
  </si>
  <si>
    <t>Le revenu locatif brut réalisable des logements de votre ensemble sera-t-il égal ou inférieur à 90 % du revenu brut potentiel, et les loyers d’au moins 20 % des logements seront-ils égaux ou inférieurs à 30 % du revenu médian des ménages dans votre municipalité?</t>
  </si>
  <si>
    <t>Dix pour cent (10 %) des logements de votre ensemble satisferont-ils ou dépasseront-ils les exigences en matière d’accessibilité qui sont imposées par votre municipalité ou votre province/territoire ou, en l’absence de telles exigences, par le Code national du bâtiment de 2015?</t>
  </si>
  <si>
    <t>Jusqu’à 5 logements de plus au-dessus de l’exigence d’admissibilité</t>
  </si>
  <si>
    <r>
      <rPr>
        <b/>
        <sz val="11"/>
        <rFont val="Calibri"/>
        <family val="2"/>
        <scheme val="minor"/>
      </rPr>
      <t xml:space="preserve">Organismes sans but lucratif : </t>
    </r>
    <r>
      <rPr>
        <sz val="11"/>
        <rFont val="Calibri"/>
        <family val="2"/>
        <scheme val="minor"/>
      </rPr>
      <t xml:space="preserve">d’autres organismes sans but lucratif, des promoteurs à but lucratif, des organismes autochtones en milieu urbain ou des municipalités investiront-ils à long terme dans l’ensemble?
</t>
    </r>
    <r>
      <rPr>
        <b/>
        <sz val="11"/>
        <rFont val="Calibri"/>
        <family val="2"/>
        <scheme val="minor"/>
      </rPr>
      <t>Promoteurs à but lucratif </t>
    </r>
    <r>
      <rPr>
        <sz val="11"/>
        <rFont val="Calibri"/>
        <family val="2"/>
        <scheme val="minor"/>
      </rPr>
      <t xml:space="preserve">: des organismes sans but lucratif, des organismes autochtones en milieu urbain ou des municipalités investiront-ils à long terme dans l’ensemble?
</t>
    </r>
    <r>
      <rPr>
        <b/>
        <sz val="11"/>
        <rFont val="Calibri"/>
        <family val="2"/>
        <scheme val="minor"/>
      </rPr>
      <t>Municipalités :</t>
    </r>
    <r>
      <rPr>
        <sz val="11"/>
        <rFont val="Calibri"/>
        <family val="2"/>
        <scheme val="minor"/>
      </rPr>
      <t xml:space="preserve">  des organismes sans but lucratif, des promoteurs à but lucratif ou des organismes autochtones en milieu urbain investiront-ils à long terme dans l’ensemble?</t>
    </r>
  </si>
  <si>
    <t xml:space="preserve">  (La portion non rés. ne peut représenter plus de 30 % de la superficie de plancher de l’ensemble)</t>
  </si>
  <si>
    <t>% de la superficie de plancher de l’ensemble pour la portion non rés.</t>
  </si>
  <si>
    <t>Commerce/bureau 1</t>
  </si>
  <si>
    <t>Commerce/bureau 2</t>
  </si>
  <si>
    <t>Commerce/bureau 3</t>
  </si>
  <si>
    <t>Commerce/bureau 4</t>
  </si>
  <si>
    <t>• Allégements d’impôt foncier</t>
  </si>
  <si>
    <t>• Allégements de cotisations</t>
  </si>
  <si>
    <t>Abordabilité – nombre de logements</t>
  </si>
  <si>
    <t xml:space="preserve">L’ensemble est situé à moins d’un kilomètre des services de transport en commun (arrêt d’autobus ou station de train, de transport rapide ou de métro) </t>
  </si>
  <si>
    <t>Locatif neuf</t>
  </si>
  <si>
    <t>Mise de fonds exigée du propriétaire pour satisfaire au RPC maximal</t>
  </si>
  <si>
    <t>Mise de fonds exigée du propriétaire pour satisfaire au CCD minimal</t>
  </si>
  <si>
    <t>Mise de fonds  exigée du propriétaire (montant le plus élevé)</t>
  </si>
  <si>
    <t>RPC admissible, portion résid.</t>
  </si>
  <si>
    <t>RPC jusqu’à 90 %, portion résid.</t>
  </si>
  <si>
    <t>RPC jusqu’à 95 %, portion résid.</t>
  </si>
  <si>
    <t>RPC jusqu’à 100 %, portion résid.</t>
  </si>
  <si>
    <t>Loyers pro forma</t>
  </si>
  <si>
    <t>Pro forma annuel, log. loc. neufs</t>
  </si>
  <si>
    <t>Mise de fonds  réelle du propriétaire</t>
  </si>
  <si>
    <t>CCD minimal admissible de 1,1</t>
  </si>
  <si>
    <t>Revenu Brut Potentiel</t>
  </si>
  <si>
    <t>Valeur marchande du terrain</t>
  </si>
  <si>
    <r>
      <t xml:space="preserve">Mise de fonds en terrain 
</t>
    </r>
    <r>
      <rPr>
        <sz val="10"/>
        <rFont val="Calibri"/>
        <family val="2"/>
        <scheme val="minor"/>
      </rPr>
      <t>(différence entre la valeur marchande et le coût d'acquisition du terrain)</t>
    </r>
  </si>
  <si>
    <t>Publicité &amp; marketing</t>
  </si>
  <si>
    <t>Administration</t>
  </si>
  <si>
    <t>Télécom</t>
  </si>
  <si>
    <t>Contingence dans HC</t>
  </si>
  <si>
    <t>https://www150.statcan.gc.ca/t1/tbl1/fr/tv.action?pid=1110000901&amp;pickMembers%5B0%5D=1.1&amp;cubeTimeFrame.startYear=2014&amp;cubeTimeFrame.endYear=2018&amp;referencePeriods=20140101%2C20180101</t>
  </si>
  <si>
    <t>L’ensemble dépasse de 15 % les normes d’efficacité énergétique des codes modèles du bâtiment applicables. (exigence minimale d’admissibilité)</t>
  </si>
  <si>
    <t xml:space="preserve">L’ensemble dépasse de plus de 15 % et jusqu’à 25 % les normes d’efficacité énergétique des codes modèles du bâtiment applicables. </t>
  </si>
  <si>
    <t xml:space="preserve">L’ensemble dépasse de plus de 25 % et jusqu’à 50 % les normes d’efficacité énergétique des codes modèles du bâtiment applicables. </t>
  </si>
  <si>
    <t xml:space="preserve">L’ensemble dépasse de plus de 50 % les normes d’efficacité énergétique des codes modèles du bâtiment applicables. </t>
  </si>
  <si>
    <t>Votre ensemble réduira-t-il d’au moins 15 % la consommation énergétique et les émissions de gaz à effet de serre par rapport aux exigences des codes modèles du bâtiment applicables?                                                                                                                                                                                                                                                                                             Les immeubles à logements multiples de faible hauteur en vertu de la partie 9 du Code national du bâtiment doivent démontrer une amélioration d’au moins 15 % par rapport au CNB 2015.
Tous les bâtiments de la partie 3 du Code national du bâtiment doivent démontrer une amélioration d’au moins 15 % par rapport au CNÉB 2017.</t>
  </si>
  <si>
    <r>
      <rPr>
        <b/>
        <u/>
        <sz val="11"/>
        <rFont val="Calibri"/>
        <family val="2"/>
        <scheme val="minor"/>
      </rPr>
      <t>Avis de non-responsabilité</t>
    </r>
    <r>
      <rPr>
        <sz val="11"/>
        <rFont val="Calibri"/>
        <family val="2"/>
        <scheme val="minor"/>
      </rPr>
      <t xml:space="preserve">  - Cet outil d'évaluation est présenté par la SCHL à des fins d'illustration et d'estimation générales seulement. Les montants obtenus à l'aide de cet outil sont basés sur les données indiquées ainsi que sur les hypothèses et les estimations faites par celui-ci. Les projections obtenues ne sont pas garanties par la SCHL. Elles ne visent pas à fournir des conseils d'ordre financier ou autre sur un ou des ensembles d'habitation en particulier, de sorte qu'elles ne doivent pas servir à cet effet. Ni la SCHL, ni aucun de ses employés ou conseillers n'assume quelque responsabilité que ce soit quant à l'exactitude des projections figurant dans cet outil ou relativement à tout dommage en découlant ou liés à celles-ci. Personne ne peut faire valoir qu'il a utilisé l'outil d'évaluation ou ses résultats relativement à quelque ensemble d'habitation que ce soit pour obtenir une assurance prêt hypothécaire de la SCHL ou du financement au titre de cette initiative ou de tout autre programme ou initiative de la SCHL. Nous vous encourageons à communiquer avec le représentant de la SCHL de votre région pour obtenir de l’aide concernant cet outil. </t>
    </r>
  </si>
  <si>
    <t>Les utilisateurs sont autorisés à télécharger l’outil d’évaluation pour l’utiliser uniquement dans le cadre du Programme de prêts pour la construction d'appartements de la SCHL et ne sont pas autorisés à copier, reproduire, modifier ou distribuer l’outil d’évaluation sans obtenir au préalable le consentement écrit de la SCHL.</t>
  </si>
  <si>
    <t>Le résultat doit être « oui » pour que votre ensemble fasse l’objet d’un examen dans le cadre du Programme de prêts pour la construction d'appartements. Si votre ensemble satisfait aux critères d’admissibilité, veuillez répondre aux questions de la section « Pointage pour l’établissement des priorités »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</si>
</sst>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0.000000"/>
    <numFmt numFmtId="167" formatCode="_-* #,##0.0000000_-;\-* #,##0.0000000_-;_-* &quot;-&quot;??_-;_-@_-"/>
    <numFmt numFmtId="168" formatCode="0\ %"/>
    <numFmt numFmtId="169" formatCode="0.00\ %"/>
    <numFmt numFmtId="170" formatCode="#,##0.00\ &quot;$&quot;"/>
    <numFmt numFmtId="171" formatCode="0.0\ %"/>
  </numFmts>
  <fonts count="29">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val="singleAccounting"/>
      <sz val="11"/>
      <color theme="1"/>
      <name val="Calibri"/>
      <family val="2"/>
      <scheme val="minor"/>
    </font>
    <font>
      <sz val="10"/>
      <name val="Arial"/>
      <family val="2"/>
    </font>
    <font>
      <sz val="10"/>
      <name val="Palatino"/>
    </font>
    <font>
      <sz val="8"/>
      <name val="Arial"/>
      <family val="2"/>
    </font>
    <font>
      <b/>
      <sz val="8"/>
      <color indexed="12"/>
      <name val="Arial"/>
      <family val="2"/>
    </font>
    <font>
      <b/>
      <sz val="8"/>
      <name val="Arial"/>
      <family val="2"/>
    </font>
    <font>
      <b/>
      <i/>
      <sz val="10"/>
      <name val="Arial"/>
      <family val="2"/>
    </font>
    <font>
      <b/>
      <sz val="10"/>
      <name val="Arial"/>
      <family val="2"/>
    </font>
    <font>
      <sz val="11"/>
      <color rgb="FFFF0000"/>
      <name val="Calibri"/>
      <family val="2"/>
      <scheme val="minor"/>
    </font>
    <font>
      <u val="singleAccounting"/>
      <sz val="11"/>
      <color rgb="FFFF0000"/>
      <name val="Calibri"/>
      <family val="2"/>
      <scheme val="minor"/>
    </font>
    <font>
      <sz val="11"/>
      <name val="Calibri"/>
      <family val="2"/>
      <scheme val="minor"/>
    </font>
    <font>
      <b/>
      <sz val="8"/>
      <color rgb="FF000000"/>
      <name val="Verdana"/>
      <family val="2"/>
    </font>
    <font>
      <u/>
      <sz val="11"/>
      <color theme="10"/>
      <name val="Calibri"/>
      <family val="2"/>
      <scheme val="minor"/>
    </font>
    <font>
      <sz val="8"/>
      <color rgb="FF000000"/>
      <name val="Arial"/>
      <family val="2"/>
    </font>
    <font>
      <b/>
      <sz val="11"/>
      <color theme="9" tint="0.79998168889431442"/>
      <name val="Calibri"/>
      <family val="2"/>
      <scheme val="minor"/>
    </font>
    <font>
      <strike/>
      <sz val="11"/>
      <color rgb="FFFF0000"/>
      <name val="Calibri"/>
      <family val="2"/>
      <scheme val="minor"/>
    </font>
    <font>
      <b/>
      <sz val="11"/>
      <name val="Calibri"/>
      <family val="2"/>
      <scheme val="minor"/>
    </font>
    <font>
      <b/>
      <sz val="12"/>
      <color theme="9" tint="0.79998168889431442"/>
      <name val="Calibri"/>
      <family val="2"/>
      <scheme val="minor"/>
    </font>
    <font>
      <b/>
      <sz val="12"/>
      <color theme="1"/>
      <name val="Calibri"/>
      <family val="2"/>
      <scheme val="minor"/>
    </font>
    <font>
      <b/>
      <sz val="11"/>
      <color rgb="FFFF0000"/>
      <name val="Calibri"/>
      <family val="2"/>
      <scheme val="minor"/>
    </font>
    <font>
      <sz val="10"/>
      <name val="Calibri"/>
      <family val="2"/>
      <scheme val="minor"/>
    </font>
    <font>
      <b/>
      <sz val="12"/>
      <color rgb="FFFF0000"/>
      <name val="Calibri"/>
      <family val="2"/>
      <scheme val="minor"/>
    </font>
    <font>
      <u val="singleAccounting"/>
      <vertAlign val="superscript"/>
      <sz val="11"/>
      <color theme="1"/>
      <name val="Calibri"/>
      <family val="2"/>
      <scheme val="minor"/>
    </font>
    <font>
      <b/>
      <u/>
      <sz val="11"/>
      <name val="Calibri"/>
      <family val="2"/>
      <scheme val="minor"/>
    </font>
    <font>
      <sz val="11"/>
      <color rgb="FF000000"/>
      <name val="Calibri"/>
      <family val="2"/>
      <scheme val="minor"/>
    </font>
  </fonts>
  <fills count="18">
    <fill>
      <patternFill patternType="none"/>
    </fill>
    <fill>
      <patternFill patternType="gray125"/>
    </fill>
    <fill>
      <patternFill patternType="solid">
        <fgColor indexed="26"/>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34998626667073579"/>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8"/>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67">
    <xf numFmtId="0" fontId="0" fillId="0" borderId="0" xfId="0"/>
    <xf numFmtId="164" fontId="0" fillId="0" borderId="0" xfId="1" applyNumberFormat="1" applyFont="1"/>
    <xf numFmtId="164" fontId="3" fillId="0" borderId="0" xfId="1" applyNumberFormat="1" applyFont="1"/>
    <xf numFmtId="164" fontId="4" fillId="0" borderId="0" xfId="1" applyNumberFormat="1" applyFont="1"/>
    <xf numFmtId="2" fontId="5" fillId="0" borderId="0" xfId="3" applyNumberFormat="1"/>
    <xf numFmtId="2" fontId="6" fillId="0" borderId="0" xfId="3" applyNumberFormat="1" applyFont="1" applyAlignment="1">
      <alignment horizontal="right"/>
    </xf>
    <xf numFmtId="2" fontId="6" fillId="0" borderId="0" xfId="3" applyNumberFormat="1" applyFont="1" applyAlignment="1">
      <alignment horizontal="center"/>
    </xf>
    <xf numFmtId="2" fontId="6" fillId="0" borderId="0" xfId="3" applyNumberFormat="1" applyFont="1" applyAlignment="1"/>
    <xf numFmtId="2" fontId="6" fillId="0" borderId="0" xfId="3" applyNumberFormat="1" applyFont="1"/>
    <xf numFmtId="0" fontId="5" fillId="0" borderId="0" xfId="3"/>
    <xf numFmtId="2" fontId="7" fillId="0" borderId="0" xfId="3" applyNumberFormat="1" applyFont="1" applyAlignment="1">
      <alignment horizontal="right"/>
    </xf>
    <xf numFmtId="2" fontId="7" fillId="0" borderId="0" xfId="3" applyNumberFormat="1" applyFont="1" applyAlignment="1">
      <alignment horizontal="center"/>
    </xf>
    <xf numFmtId="2" fontId="7" fillId="0" borderId="0" xfId="3" applyNumberFormat="1" applyFont="1" applyAlignment="1"/>
    <xf numFmtId="2" fontId="7" fillId="0" borderId="0" xfId="3" applyNumberFormat="1" applyFont="1"/>
    <xf numFmtId="0" fontId="7" fillId="0" borderId="0" xfId="3" applyFont="1"/>
    <xf numFmtId="7" fontId="7" fillId="0" borderId="0" xfId="3" applyNumberFormat="1" applyFont="1" applyProtection="1">
      <protection locked="0"/>
    </xf>
    <xf numFmtId="2" fontId="8" fillId="0" borderId="0" xfId="3" applyNumberFormat="1" applyFont="1"/>
    <xf numFmtId="2" fontId="7" fillId="0" borderId="0" xfId="3" applyNumberFormat="1" applyFont="1" applyAlignment="1">
      <alignment horizontal="left"/>
    </xf>
    <xf numFmtId="2" fontId="7" fillId="0" borderId="1" xfId="3" applyNumberFormat="1" applyFont="1" applyBorder="1" applyAlignment="1">
      <alignment horizontal="center"/>
    </xf>
    <xf numFmtId="2" fontId="7" fillId="0" borderId="1" xfId="3" applyNumberFormat="1" applyFont="1" applyBorder="1" applyAlignment="1">
      <alignment horizontal="left"/>
    </xf>
    <xf numFmtId="166" fontId="7" fillId="0" borderId="0" xfId="3" applyNumberFormat="1" applyFont="1"/>
    <xf numFmtId="2" fontId="8" fillId="0" borderId="0" xfId="3" applyNumberFormat="1" applyFont="1" applyAlignment="1">
      <alignment horizontal="right"/>
    </xf>
    <xf numFmtId="7" fontId="7" fillId="0" borderId="0" xfId="3" applyNumberFormat="1" applyFont="1"/>
    <xf numFmtId="1" fontId="7" fillId="2" borderId="0" xfId="3" applyNumberFormat="1" applyFont="1" applyFill="1" applyProtection="1">
      <protection locked="0"/>
    </xf>
    <xf numFmtId="1" fontId="7" fillId="0" borderId="0" xfId="3" applyNumberFormat="1" applyFont="1" applyProtection="1">
      <protection locked="0"/>
    </xf>
    <xf numFmtId="8" fontId="7" fillId="0" borderId="0" xfId="3" applyNumberFormat="1" applyFont="1" applyAlignment="1"/>
    <xf numFmtId="2" fontId="9" fillId="0" borderId="0" xfId="3" applyNumberFormat="1" applyFont="1"/>
    <xf numFmtId="10" fontId="7" fillId="2" borderId="0" xfId="4" applyNumberFormat="1" applyFont="1" applyFill="1" applyProtection="1">
      <protection locked="0"/>
    </xf>
    <xf numFmtId="5" fontId="7" fillId="2" borderId="0" xfId="3" applyNumberFormat="1" applyFont="1" applyFill="1" applyProtection="1">
      <protection locked="0"/>
    </xf>
    <xf numFmtId="2" fontId="10" fillId="0" borderId="0" xfId="3" applyNumberFormat="1" applyFont="1" applyAlignment="1">
      <alignment horizontal="left"/>
    </xf>
    <xf numFmtId="2" fontId="11" fillId="0" borderId="0" xfId="3" applyNumberFormat="1" applyFont="1" applyAlignment="1">
      <alignment horizontal="left"/>
    </xf>
    <xf numFmtId="164" fontId="2" fillId="0" borderId="0" xfId="1" applyNumberFormat="1" applyFont="1"/>
    <xf numFmtId="164" fontId="0" fillId="0" borderId="0" xfId="1" applyNumberFormat="1" applyFont="1" applyAlignment="1">
      <alignment horizontal="right"/>
    </xf>
    <xf numFmtId="164" fontId="1" fillId="0" borderId="0" xfId="1" applyNumberFormat="1" applyFont="1"/>
    <xf numFmtId="164" fontId="2" fillId="3" borderId="2" xfId="1" applyNumberFormat="1" applyFont="1" applyFill="1" applyBorder="1"/>
    <xf numFmtId="164" fontId="0" fillId="0" borderId="0" xfId="1" applyNumberFormat="1" applyFont="1" applyBorder="1"/>
    <xf numFmtId="164" fontId="0" fillId="5" borderId="0" xfId="1" applyNumberFormat="1" applyFont="1" applyFill="1"/>
    <xf numFmtId="164" fontId="4" fillId="5" borderId="0" xfId="1" applyNumberFormat="1" applyFont="1" applyFill="1"/>
    <xf numFmtId="43" fontId="0" fillId="0" borderId="0" xfId="1" applyNumberFormat="1" applyFont="1" applyFill="1" applyBorder="1"/>
    <xf numFmtId="164" fontId="0" fillId="0" borderId="0" xfId="1" applyNumberFormat="1" applyFont="1" applyFill="1" applyBorder="1"/>
    <xf numFmtId="9" fontId="0" fillId="0" borderId="0" xfId="2" applyFont="1" applyFill="1" applyBorder="1" applyAlignment="1">
      <alignment horizontal="right"/>
    </xf>
    <xf numFmtId="43" fontId="0" fillId="0" borderId="0" xfId="1" applyNumberFormat="1" applyFont="1" applyFill="1" applyBorder="1" applyAlignment="1">
      <alignment horizontal="right"/>
    </xf>
    <xf numFmtId="164" fontId="0" fillId="0" borderId="0" xfId="1" applyNumberFormat="1" applyFont="1" applyFill="1"/>
    <xf numFmtId="164" fontId="0" fillId="4" borderId="0" xfId="1" applyNumberFormat="1" applyFont="1" applyFill="1" applyProtection="1">
      <protection locked="0"/>
    </xf>
    <xf numFmtId="164" fontId="1" fillId="4" borderId="5" xfId="1" applyNumberFormat="1" applyFont="1" applyFill="1" applyBorder="1" applyProtection="1">
      <protection locked="0"/>
    </xf>
    <xf numFmtId="164" fontId="4" fillId="4" borderId="0" xfId="1" applyNumberFormat="1" applyFont="1" applyFill="1" applyProtection="1">
      <protection locked="0"/>
    </xf>
    <xf numFmtId="10" fontId="0" fillId="4" borderId="0" xfId="2" applyNumberFormat="1" applyFont="1" applyFill="1" applyProtection="1">
      <protection locked="0"/>
    </xf>
    <xf numFmtId="164" fontId="0" fillId="0" borderId="0" xfId="1" applyNumberFormat="1" applyFont="1" applyFill="1" applyBorder="1" applyAlignment="1">
      <alignment horizontal="right"/>
    </xf>
    <xf numFmtId="164" fontId="1" fillId="0" borderId="0" xfId="1" applyNumberFormat="1" applyFont="1" applyFill="1" applyBorder="1" applyAlignment="1">
      <alignment horizontal="right"/>
    </xf>
    <xf numFmtId="10" fontId="0" fillId="0" borderId="0" xfId="2" applyNumberFormat="1" applyFont="1" applyFill="1" applyBorder="1" applyProtection="1">
      <protection locked="0"/>
    </xf>
    <xf numFmtId="164" fontId="0" fillId="7" borderId="2" xfId="1" applyNumberFormat="1" applyFont="1" applyFill="1" applyBorder="1"/>
    <xf numFmtId="164" fontId="1" fillId="0" borderId="0" xfId="1" applyNumberFormat="1" applyFont="1" applyFill="1" applyBorder="1"/>
    <xf numFmtId="164" fontId="0" fillId="7" borderId="0" xfId="1" applyNumberFormat="1" applyFont="1" applyFill="1" applyBorder="1"/>
    <xf numFmtId="9" fontId="0" fillId="0" borderId="0" xfId="0" applyNumberFormat="1"/>
    <xf numFmtId="10" fontId="0" fillId="0" borderId="0" xfId="2" applyNumberFormat="1" applyFont="1" applyBorder="1"/>
    <xf numFmtId="43" fontId="0" fillId="0" borderId="0" xfId="1" applyNumberFormat="1" applyFont="1" applyBorder="1"/>
    <xf numFmtId="2" fontId="0" fillId="7" borderId="2" xfId="0" applyNumberFormat="1" applyFill="1" applyBorder="1" applyAlignment="1">
      <alignment horizontal="center"/>
    </xf>
    <xf numFmtId="9" fontId="0" fillId="7" borderId="2" xfId="2" applyFont="1" applyFill="1" applyBorder="1" applyAlignment="1">
      <alignment horizontal="center"/>
    </xf>
    <xf numFmtId="0" fontId="0" fillId="7" borderId="2" xfId="0" applyFill="1" applyBorder="1" applyAlignment="1">
      <alignment horizontal="center"/>
    </xf>
    <xf numFmtId="0" fontId="0" fillId="0" borderId="0" xfId="0" applyAlignment="1">
      <alignment horizontal="center"/>
    </xf>
    <xf numFmtId="164" fontId="0" fillId="5" borderId="0" xfId="1" applyNumberFormat="1" applyFont="1" applyFill="1" applyAlignment="1">
      <alignment horizontal="center"/>
    </xf>
    <xf numFmtId="0" fontId="0" fillId="6" borderId="2" xfId="0" applyFill="1" applyBorder="1" applyAlignment="1">
      <alignment horizontal="center"/>
    </xf>
    <xf numFmtId="9" fontId="1" fillId="0" borderId="0" xfId="2" applyFont="1" applyFill="1"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Border="1"/>
    <xf numFmtId="0" fontId="0" fillId="0" borderId="0" xfId="0" applyBorder="1" applyAlignment="1">
      <alignment horizontal="center"/>
    </xf>
    <xf numFmtId="0" fontId="14" fillId="0" borderId="0" xfId="0" applyFont="1" applyBorder="1" applyAlignment="1">
      <alignment vertical="top" wrapText="1"/>
    </xf>
    <xf numFmtId="0" fontId="14" fillId="0" borderId="0" xfId="0" applyFont="1" applyBorder="1"/>
    <xf numFmtId="0" fontId="0" fillId="0" borderId="0" xfId="0" applyBorder="1" applyAlignment="1" applyProtection="1">
      <alignment horizontal="center"/>
      <protection locked="0"/>
    </xf>
    <xf numFmtId="0" fontId="2" fillId="0" borderId="0" xfId="0" applyFont="1" applyBorder="1" applyAlignment="1">
      <alignment horizontal="center"/>
    </xf>
    <xf numFmtId="0" fontId="0" fillId="0" borderId="0" xfId="0" applyBorder="1" applyAlignment="1" applyProtection="1">
      <alignment horizontal="center" vertical="center"/>
      <protection locked="0"/>
    </xf>
    <xf numFmtId="0" fontId="0" fillId="0" borderId="5" xfId="0" applyBorder="1"/>
    <xf numFmtId="0" fontId="0" fillId="0" borderId="5" xfId="0" applyBorder="1" applyAlignment="1">
      <alignment horizontal="center"/>
    </xf>
    <xf numFmtId="0" fontId="0" fillId="0" borderId="0" xfId="0" applyBorder="1" applyAlignment="1">
      <alignment horizontal="center" wrapText="1"/>
    </xf>
    <xf numFmtId="0" fontId="0" fillId="0" borderId="0" xfId="0" applyBorder="1" applyAlignment="1">
      <alignment horizontal="right" vertical="center"/>
    </xf>
    <xf numFmtId="0" fontId="0" fillId="0" borderId="0" xfId="0" applyBorder="1" applyAlignment="1">
      <alignment horizontal="right"/>
    </xf>
    <xf numFmtId="0" fontId="0" fillId="0" borderId="0" xfId="0" applyFill="1" applyProtection="1">
      <protection hidden="1"/>
    </xf>
    <xf numFmtId="0" fontId="0" fillId="0" borderId="0" xfId="0" applyProtection="1">
      <protection hidden="1"/>
    </xf>
    <xf numFmtId="0" fontId="0" fillId="0" borderId="0" xfId="0" applyFill="1" applyBorder="1"/>
    <xf numFmtId="164" fontId="2" fillId="5" borderId="0" xfId="1" applyNumberFormat="1" applyFont="1" applyFill="1"/>
    <xf numFmtId="164" fontId="0" fillId="5" borderId="2" xfId="0" applyNumberFormat="1" applyFill="1" applyBorder="1"/>
    <xf numFmtId="2" fontId="0" fillId="0" borderId="0" xfId="0" applyNumberFormat="1"/>
    <xf numFmtId="0" fontId="0" fillId="0" borderId="0" xfId="0" applyBorder="1" applyAlignment="1">
      <alignment horizontal="left" vertical="top" wrapText="1"/>
    </xf>
    <xf numFmtId="0" fontId="0" fillId="0" borderId="0" xfId="0" applyBorder="1" applyAlignment="1">
      <alignment horizontal="center" vertical="center"/>
    </xf>
    <xf numFmtId="164" fontId="0" fillId="5" borderId="0" xfId="1" applyNumberFormat="1" applyFont="1" applyFill="1" applyBorder="1"/>
    <xf numFmtId="0" fontId="0" fillId="9" borderId="0" xfId="0" applyFill="1"/>
    <xf numFmtId="0" fontId="18" fillId="8" borderId="0" xfId="0" applyFont="1" applyFill="1"/>
    <xf numFmtId="164" fontId="18" fillId="8" borderId="0" xfId="1" applyNumberFormat="1" applyFont="1" applyFill="1" applyBorder="1"/>
    <xf numFmtId="0" fontId="2" fillId="0" borderId="0" xfId="0" applyFont="1" applyBorder="1"/>
    <xf numFmtId="0" fontId="0" fillId="7" borderId="0" xfId="0" applyFill="1" applyBorder="1" applyAlignment="1">
      <alignment horizontal="center"/>
    </xf>
    <xf numFmtId="0" fontId="0" fillId="0" borderId="0" xfId="0" applyFont="1" applyBorder="1"/>
    <xf numFmtId="0" fontId="0" fillId="4" borderId="0" xfId="0" applyFill="1" applyBorder="1" applyAlignment="1" applyProtection="1">
      <alignment horizontal="center"/>
      <protection locked="0"/>
    </xf>
    <xf numFmtId="0" fontId="0" fillId="0" borderId="0" xfId="0" applyBorder="1" applyAlignment="1">
      <alignment horizontal="center" vertical="top"/>
    </xf>
    <xf numFmtId="0" fontId="0" fillId="4" borderId="0" xfId="0" applyFill="1" applyBorder="1" applyAlignment="1" applyProtection="1">
      <alignment horizontal="center" vertical="top"/>
      <protection locked="0"/>
    </xf>
    <xf numFmtId="0" fontId="14" fillId="0" borderId="5" xfId="0" applyFont="1" applyBorder="1" applyAlignment="1">
      <alignment horizontal="center"/>
    </xf>
    <xf numFmtId="0" fontId="2" fillId="0" borderId="5" xfId="0" applyFont="1" applyBorder="1" applyAlignment="1">
      <alignment horizontal="center"/>
    </xf>
    <xf numFmtId="0" fontId="0" fillId="0" borderId="0" xfId="0" applyFont="1" applyAlignment="1">
      <alignment wrapText="1"/>
    </xf>
    <xf numFmtId="0" fontId="18" fillId="8" borderId="0" xfId="0" applyFont="1" applyFill="1" applyAlignment="1">
      <alignment wrapText="1"/>
    </xf>
    <xf numFmtId="0" fontId="2"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0" fontId="2" fillId="0" borderId="0" xfId="0" applyFont="1" applyBorder="1" applyAlignment="1">
      <alignment vertical="top" wrapText="1"/>
    </xf>
    <xf numFmtId="0" fontId="2" fillId="0" borderId="5" xfId="0" applyFont="1" applyBorder="1" applyAlignment="1">
      <alignment wrapText="1"/>
    </xf>
    <xf numFmtId="0" fontId="18" fillId="0" borderId="0" xfId="0" applyFont="1" applyFill="1"/>
    <xf numFmtId="0" fontId="0" fillId="0" borderId="0" xfId="1" applyNumberFormat="1" applyFont="1" applyBorder="1"/>
    <xf numFmtId="164" fontId="2" fillId="0" borderId="0" xfId="1" applyNumberFormat="1" applyFont="1" applyBorder="1"/>
    <xf numFmtId="164" fontId="4" fillId="0" borderId="0" xfId="1" applyNumberFormat="1" applyFont="1" applyBorder="1"/>
    <xf numFmtId="164" fontId="0" fillId="0" borderId="0" xfId="0" applyNumberFormat="1" applyBorder="1"/>
    <xf numFmtId="164" fontId="4" fillId="5" borderId="0" xfId="1" applyNumberFormat="1" applyFont="1" applyFill="1" applyBorder="1"/>
    <xf numFmtId="164" fontId="4" fillId="0" borderId="0" xfId="1" applyNumberFormat="1" applyFont="1" applyFill="1" applyBorder="1"/>
    <xf numFmtId="164" fontId="1" fillId="0" borderId="0" xfId="1" applyNumberFormat="1" applyFont="1" applyBorder="1"/>
    <xf numFmtId="164" fontId="1" fillId="5" borderId="0" xfId="1" applyNumberFormat="1" applyFont="1" applyFill="1" applyBorder="1"/>
    <xf numFmtId="9" fontId="1" fillId="0" borderId="0" xfId="2" applyFont="1" applyBorder="1"/>
    <xf numFmtId="164" fontId="0" fillId="0" borderId="0" xfId="1" applyNumberFormat="1" applyFont="1" applyBorder="1" applyAlignment="1">
      <alignment horizontal="right"/>
    </xf>
    <xf numFmtId="164" fontId="4" fillId="0" borderId="0" xfId="1" applyNumberFormat="1" applyFont="1" applyBorder="1" applyAlignment="1">
      <alignment horizontal="right"/>
    </xf>
    <xf numFmtId="164" fontId="13" fillId="0" borderId="0" xfId="1" applyNumberFormat="1" applyFont="1" applyBorder="1" applyAlignment="1">
      <alignment horizontal="center"/>
    </xf>
    <xf numFmtId="164" fontId="0" fillId="4" borderId="0" xfId="1" applyNumberFormat="1" applyFont="1" applyFill="1" applyBorder="1" applyProtection="1">
      <protection locked="0"/>
    </xf>
    <xf numFmtId="164" fontId="12" fillId="0" borderId="0" xfId="1" applyNumberFormat="1" applyFont="1" applyBorder="1" applyAlignment="1">
      <alignment horizontal="center"/>
    </xf>
    <xf numFmtId="0" fontId="3" fillId="0" borderId="0" xfId="1" applyNumberFormat="1" applyFont="1" applyBorder="1"/>
    <xf numFmtId="0" fontId="4" fillId="0" borderId="0" xfId="1" applyNumberFormat="1" applyFont="1" applyBorder="1"/>
    <xf numFmtId="0" fontId="15" fillId="0" borderId="0" xfId="0" applyFont="1" applyBorder="1"/>
    <xf numFmtId="164" fontId="4" fillId="4" borderId="0" xfId="1" applyNumberFormat="1" applyFont="1" applyFill="1" applyBorder="1" applyProtection="1">
      <protection locked="0"/>
    </xf>
    <xf numFmtId="165" fontId="0" fillId="0" borderId="0" xfId="2" applyNumberFormat="1" applyFont="1" applyBorder="1"/>
    <xf numFmtId="10" fontId="0" fillId="4" borderId="0" xfId="2" applyNumberFormat="1" applyFont="1" applyFill="1" applyBorder="1" applyProtection="1">
      <protection locked="0"/>
    </xf>
    <xf numFmtId="164" fontId="2" fillId="5" borderId="0" xfId="1" applyNumberFormat="1" applyFont="1" applyFill="1" applyBorder="1"/>
    <xf numFmtId="164" fontId="2" fillId="0" borderId="0" xfId="0" applyNumberFormat="1" applyFont="1" applyBorder="1"/>
    <xf numFmtId="10" fontId="1" fillId="0" borderId="0" xfId="2" applyNumberFormat="1" applyFont="1" applyBorder="1"/>
    <xf numFmtId="0" fontId="18" fillId="8" borderId="0" xfId="0" applyFont="1" applyFill="1" applyBorder="1"/>
    <xf numFmtId="0" fontId="18" fillId="0" borderId="0" xfId="0" applyFont="1" applyFill="1" applyBorder="1"/>
    <xf numFmtId="0" fontId="18" fillId="12" borderId="0" xfId="0" applyFont="1" applyFill="1"/>
    <xf numFmtId="0" fontId="18" fillId="12" borderId="0" xfId="0" applyFont="1" applyFill="1" applyBorder="1"/>
    <xf numFmtId="164" fontId="0" fillId="3" borderId="0" xfId="1" applyNumberFormat="1" applyFont="1" applyFill="1" applyBorder="1"/>
    <xf numFmtId="164" fontId="2" fillId="3" borderId="0" xfId="1" applyNumberFormat="1" applyFont="1" applyFill="1" applyBorder="1"/>
    <xf numFmtId="164" fontId="3" fillId="0" borderId="0" xfId="1" applyNumberFormat="1" applyFont="1" applyBorder="1"/>
    <xf numFmtId="164" fontId="0" fillId="6" borderId="0" xfId="1" applyNumberFormat="1" applyFont="1" applyFill="1" applyBorder="1" applyAlignment="1">
      <alignment horizontal="right"/>
    </xf>
    <xf numFmtId="43" fontId="0" fillId="3" borderId="0" xfId="1" applyNumberFormat="1" applyFont="1" applyFill="1" applyBorder="1"/>
    <xf numFmtId="0" fontId="0" fillId="12" borderId="0" xfId="0" applyFill="1"/>
    <xf numFmtId="164" fontId="0" fillId="12" borderId="0" xfId="1" applyNumberFormat="1" applyFont="1" applyFill="1"/>
    <xf numFmtId="0" fontId="2" fillId="0" borderId="0" xfId="0" applyFont="1" applyBorder="1" applyAlignment="1">
      <alignment horizontal="center" vertical="center"/>
    </xf>
    <xf numFmtId="0" fontId="2" fillId="0" borderId="5" xfId="0" applyFont="1" applyFill="1" applyBorder="1" applyAlignment="1">
      <alignment wrapText="1"/>
    </xf>
    <xf numFmtId="0" fontId="0" fillId="0" borderId="5" xfId="0" applyFill="1" applyBorder="1"/>
    <xf numFmtId="0" fontId="0" fillId="0" borderId="5" xfId="0" applyFill="1" applyBorder="1" applyAlignment="1">
      <alignment horizontal="center"/>
    </xf>
    <xf numFmtId="0" fontId="0" fillId="0" borderId="5" xfId="0" applyFont="1" applyBorder="1" applyAlignment="1">
      <alignment wrapText="1"/>
    </xf>
    <xf numFmtId="0" fontId="0" fillId="0" borderId="5" xfId="0" applyBorder="1" applyAlignment="1" applyProtection="1">
      <alignment horizontal="center"/>
      <protection locked="0"/>
    </xf>
    <xf numFmtId="43" fontId="0" fillId="6" borderId="0" xfId="1" applyNumberFormat="1" applyFont="1" applyFill="1" applyBorder="1" applyAlignment="1">
      <alignment horizontal="right"/>
    </xf>
    <xf numFmtId="164" fontId="2" fillId="3" borderId="6" xfId="1" applyNumberFormat="1" applyFont="1" applyFill="1" applyBorder="1"/>
    <xf numFmtId="164" fontId="0" fillId="3" borderId="8" xfId="1" applyNumberFormat="1" applyFont="1" applyFill="1" applyBorder="1" applyAlignment="1">
      <alignment horizontal="right"/>
    </xf>
    <xf numFmtId="164" fontId="2" fillId="3" borderId="7" xfId="1" applyNumberFormat="1" applyFont="1" applyFill="1" applyBorder="1"/>
    <xf numFmtId="164" fontId="0" fillId="0" borderId="0" xfId="1" applyNumberFormat="1" applyFont="1" applyAlignment="1">
      <alignment horizontal="left" indent="4"/>
    </xf>
    <xf numFmtId="164" fontId="3" fillId="0" borderId="0" xfId="1" applyNumberFormat="1" applyFont="1" applyAlignment="1">
      <alignment horizontal="left" indent="4"/>
    </xf>
    <xf numFmtId="0" fontId="0" fillId="0" borderId="0" xfId="0" applyAlignment="1">
      <alignment horizontal="left" indent="4"/>
    </xf>
    <xf numFmtId="164" fontId="0" fillId="0" borderId="0" xfId="1" applyNumberFormat="1" applyFont="1" applyFill="1" applyBorder="1" applyAlignment="1">
      <alignment horizontal="left" indent="4"/>
    </xf>
    <xf numFmtId="164" fontId="0" fillId="7" borderId="0" xfId="0" applyNumberFormat="1" applyFill="1" applyBorder="1"/>
    <xf numFmtId="0" fontId="0" fillId="10" borderId="0" xfId="0" applyFill="1"/>
    <xf numFmtId="0" fontId="0" fillId="13" borderId="0" xfId="0" applyFill="1"/>
    <xf numFmtId="0" fontId="0" fillId="11" borderId="0" xfId="0" applyFill="1"/>
    <xf numFmtId="0" fontId="18" fillId="11" borderId="0" xfId="0" applyFont="1" applyFill="1"/>
    <xf numFmtId="3" fontId="0" fillId="0" borderId="0" xfId="0" applyNumberFormat="1"/>
    <xf numFmtId="164" fontId="0" fillId="10" borderId="0" xfId="1" applyNumberFormat="1" applyFont="1" applyFill="1"/>
    <xf numFmtId="2" fontId="0" fillId="0" borderId="0" xfId="0" applyNumberFormat="1" applyFill="1"/>
    <xf numFmtId="3" fontId="0" fillId="0" borderId="0" xfId="0" applyNumberFormat="1" applyFill="1"/>
    <xf numFmtId="0" fontId="2" fillId="4" borderId="6" xfId="0" applyFont="1" applyFill="1" applyBorder="1"/>
    <xf numFmtId="164" fontId="0" fillId="4" borderId="8" xfId="1" applyNumberFormat="1" applyFont="1" applyFill="1" applyBorder="1"/>
    <xf numFmtId="0" fontId="0" fillId="14" borderId="0" xfId="0" applyFill="1"/>
    <xf numFmtId="167" fontId="0" fillId="0" borderId="0" xfId="1" applyNumberFormat="1" applyFont="1" applyBorder="1"/>
    <xf numFmtId="8" fontId="0" fillId="0" borderId="0" xfId="2" applyNumberFormat="1" applyFont="1" applyBorder="1"/>
    <xf numFmtId="0" fontId="0" fillId="15" borderId="0" xfId="0" applyFill="1"/>
    <xf numFmtId="0" fontId="0" fillId="15" borderId="0" xfId="0" applyFont="1" applyFill="1" applyAlignment="1">
      <alignment wrapText="1"/>
    </xf>
    <xf numFmtId="164" fontId="0" fillId="15" borderId="0" xfId="1" applyNumberFormat="1" applyFont="1" applyFill="1"/>
    <xf numFmtId="164" fontId="0" fillId="0" borderId="0" xfId="0" applyNumberFormat="1" applyFill="1" applyBorder="1"/>
    <xf numFmtId="164" fontId="0" fillId="7" borderId="2" xfId="0" applyNumberFormat="1" applyFill="1" applyBorder="1"/>
    <xf numFmtId="164" fontId="0" fillId="6" borderId="0" xfId="1" applyNumberFormat="1" applyFont="1" applyFill="1" applyBorder="1"/>
    <xf numFmtId="164" fontId="4" fillId="0" borderId="9" xfId="1" applyNumberFormat="1" applyFont="1" applyBorder="1" applyAlignment="1">
      <alignment horizontal="right"/>
    </xf>
    <xf numFmtId="164" fontId="0" fillId="4" borderId="9" xfId="1" applyNumberFormat="1" applyFont="1" applyFill="1" applyBorder="1" applyProtection="1">
      <protection locked="0"/>
    </xf>
    <xf numFmtId="164" fontId="0" fillId="4" borderId="4" xfId="1" applyNumberFormat="1" applyFont="1" applyFill="1" applyBorder="1" applyProtection="1">
      <protection locked="0"/>
    </xf>
    <xf numFmtId="164" fontId="0" fillId="0" borderId="9" xfId="1" applyNumberFormat="1" applyFont="1" applyBorder="1"/>
    <xf numFmtId="164" fontId="0" fillId="5" borderId="9" xfId="1" applyNumberFormat="1" applyFont="1" applyFill="1" applyBorder="1"/>
    <xf numFmtId="164" fontId="4" fillId="4" borderId="9" xfId="1" applyNumberFormat="1" applyFont="1" applyFill="1" applyBorder="1" applyProtection="1">
      <protection locked="0"/>
    </xf>
    <xf numFmtId="164" fontId="4" fillId="5" borderId="9" xfId="1" applyNumberFormat="1" applyFont="1" applyFill="1" applyBorder="1"/>
    <xf numFmtId="164" fontId="0" fillId="5" borderId="4" xfId="1" applyNumberFormat="1" applyFont="1" applyFill="1" applyBorder="1"/>
    <xf numFmtId="10" fontId="0" fillId="4" borderId="9" xfId="2" applyNumberFormat="1" applyFont="1" applyFill="1" applyBorder="1" applyProtection="1">
      <protection locked="0"/>
    </xf>
    <xf numFmtId="164" fontId="0" fillId="0" borderId="10" xfId="1" applyNumberFormat="1" applyFont="1" applyBorder="1"/>
    <xf numFmtId="164" fontId="0" fillId="0" borderId="11" xfId="1" applyNumberFormat="1" applyFont="1" applyBorder="1"/>
    <xf numFmtId="164" fontId="0" fillId="0" borderId="12" xfId="1" applyNumberFormat="1" applyFont="1" applyBorder="1"/>
    <xf numFmtId="164" fontId="0" fillId="0" borderId="13" xfId="1" applyNumberFormat="1" applyFont="1" applyBorder="1"/>
    <xf numFmtId="43" fontId="0" fillId="5" borderId="0" xfId="1" applyFont="1" applyFill="1" applyBorder="1" applyAlignment="1" applyProtection="1">
      <alignment horizontal="center"/>
    </xf>
    <xf numFmtId="0" fontId="14" fillId="0" borderId="0" xfId="0" applyFont="1" applyBorder="1" applyAlignment="1">
      <alignment wrapText="1"/>
    </xf>
    <xf numFmtId="0" fontId="0" fillId="0" borderId="0" xfId="0" applyBorder="1" applyAlignment="1">
      <alignment horizontal="center" vertical="center"/>
    </xf>
    <xf numFmtId="0" fontId="0" fillId="4" borderId="0" xfId="0" applyFill="1" applyBorder="1" applyAlignment="1" applyProtection="1">
      <alignment horizontal="center" vertical="center"/>
      <protection locked="0"/>
    </xf>
    <xf numFmtId="0" fontId="0" fillId="0" borderId="0" xfId="0" applyBorder="1" applyAlignment="1">
      <alignment horizontal="center" vertical="center" wrapText="1"/>
    </xf>
    <xf numFmtId="164" fontId="0" fillId="5" borderId="2" xfId="1" applyNumberFormat="1" applyFont="1" applyFill="1" applyBorder="1" applyProtection="1"/>
    <xf numFmtId="164" fontId="0" fillId="4" borderId="0" xfId="1" applyNumberFormat="1" applyFont="1" applyFill="1" applyAlignment="1" applyProtection="1">
      <alignment horizontal="left" indent="4"/>
      <protection locked="0"/>
    </xf>
    <xf numFmtId="164" fontId="0" fillId="7" borderId="0" xfId="1" applyNumberFormat="1" applyFont="1" applyFill="1" applyBorder="1" applyProtection="1"/>
    <xf numFmtId="164" fontId="0" fillId="3" borderId="0" xfId="1" applyNumberFormat="1" applyFont="1" applyFill="1" applyBorder="1" applyProtection="1"/>
    <xf numFmtId="164" fontId="0" fillId="3" borderId="0" xfId="1" applyNumberFormat="1" applyFont="1" applyFill="1" applyBorder="1" applyAlignment="1" applyProtection="1">
      <alignment horizontal="right"/>
    </xf>
    <xf numFmtId="164" fontId="0" fillId="5" borderId="0" xfId="1" applyNumberFormat="1" applyFont="1" applyFill="1" applyBorder="1" applyProtection="1"/>
    <xf numFmtId="164" fontId="4" fillId="5" borderId="0" xfId="1" applyNumberFormat="1" applyFont="1" applyFill="1" applyBorder="1" applyProtection="1"/>
    <xf numFmtId="164" fontId="0" fillId="5" borderId="5" xfId="1" applyNumberFormat="1" applyFont="1" applyFill="1" applyBorder="1" applyProtection="1"/>
    <xf numFmtId="164" fontId="1" fillId="0" borderId="0" xfId="1" applyNumberFormat="1" applyFont="1" applyBorder="1" applyProtection="1"/>
    <xf numFmtId="9" fontId="0" fillId="4" borderId="0" xfId="2" applyFont="1" applyFill="1" applyBorder="1" applyProtection="1">
      <protection locked="0"/>
    </xf>
    <xf numFmtId="164" fontId="0" fillId="16" borderId="2" xfId="1" applyNumberFormat="1" applyFont="1" applyFill="1" applyBorder="1" applyAlignment="1">
      <alignment horizontal="right"/>
    </xf>
    <xf numFmtId="0" fontId="0" fillId="0" borderId="0" xfId="0" applyBorder="1" applyProtection="1"/>
    <xf numFmtId="9" fontId="0" fillId="6" borderId="0" xfId="2" applyFont="1" applyFill="1" applyBorder="1" applyAlignment="1" applyProtection="1">
      <alignment horizontal="right"/>
    </xf>
    <xf numFmtId="10" fontId="0" fillId="0" borderId="0" xfId="0" applyNumberFormat="1" applyBorder="1" applyProtection="1"/>
    <xf numFmtId="9" fontId="1" fillId="4" borderId="2" xfId="2" applyFont="1" applyFill="1" applyBorder="1" applyAlignment="1" applyProtection="1">
      <alignment horizontal="center"/>
      <protection locked="0"/>
    </xf>
    <xf numFmtId="164" fontId="0" fillId="3" borderId="2" xfId="1" applyNumberFormat="1" applyFont="1" applyFill="1" applyBorder="1" applyAlignment="1" applyProtection="1">
      <alignment horizontal="center"/>
    </xf>
    <xf numFmtId="164" fontId="0" fillId="5" borderId="0" xfId="1" applyNumberFormat="1" applyFont="1" applyFill="1" applyProtection="1"/>
    <xf numFmtId="0" fontId="0" fillId="0" borderId="0" xfId="0" applyProtection="1"/>
    <xf numFmtId="164" fontId="1" fillId="16" borderId="4" xfId="1" applyNumberFormat="1" applyFont="1" applyFill="1" applyBorder="1" applyAlignment="1">
      <alignment horizontal="center"/>
    </xf>
    <xf numFmtId="164" fontId="4" fillId="16" borderId="9" xfId="1" applyNumberFormat="1" applyFont="1" applyFill="1" applyBorder="1" applyAlignment="1">
      <alignment horizontal="right"/>
    </xf>
    <xf numFmtId="10" fontId="0" fillId="4" borderId="0" xfId="0" applyNumberFormat="1" applyFill="1" applyBorder="1" applyProtection="1">
      <protection locked="0"/>
    </xf>
    <xf numFmtId="10" fontId="0" fillId="4" borderId="5" xfId="0" applyNumberFormat="1" applyFill="1" applyBorder="1" applyProtection="1">
      <protection locked="0"/>
    </xf>
    <xf numFmtId="164" fontId="0" fillId="5" borderId="9" xfId="1" applyNumberFormat="1" applyFont="1" applyFill="1" applyBorder="1" applyProtection="1"/>
    <xf numFmtId="164" fontId="4" fillId="5" borderId="9" xfId="1" applyNumberFormat="1" applyFont="1" applyFill="1" applyBorder="1" applyProtection="1"/>
    <xf numFmtId="164" fontId="0" fillId="5" borderId="4" xfId="1" applyNumberFormat="1" applyFont="1" applyFill="1" applyBorder="1" applyProtection="1"/>
    <xf numFmtId="0" fontId="0" fillId="0" borderId="5" xfId="0" applyBorder="1" applyAlignment="1" applyProtection="1">
      <alignment horizontal="center"/>
    </xf>
    <xf numFmtId="9" fontId="0" fillId="4" borderId="0" xfId="2" applyFont="1" applyFill="1" applyBorder="1" applyAlignment="1" applyProtection="1">
      <alignment horizont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vertical="center"/>
    </xf>
    <xf numFmtId="0" fontId="21" fillId="8" borderId="0" xfId="0" applyFont="1" applyFill="1" applyAlignment="1">
      <alignment wrapText="1"/>
    </xf>
    <xf numFmtId="0" fontId="14" fillId="0" borderId="0" xfId="0" applyFont="1" applyBorder="1" applyAlignment="1"/>
    <xf numFmtId="0" fontId="19" fillId="0" borderId="0" xfId="0" applyFont="1" applyBorder="1" applyAlignment="1">
      <alignment wrapText="1"/>
    </xf>
    <xf numFmtId="0" fontId="0" fillId="0" borderId="0" xfId="0" applyBorder="1" applyAlignment="1">
      <alignment vertical="center" wrapText="1"/>
    </xf>
    <xf numFmtId="0" fontId="14" fillId="0" borderId="0" xfId="0" applyFont="1" applyFill="1" applyBorder="1" applyAlignment="1">
      <alignment vertical="center" wrapText="1"/>
    </xf>
    <xf numFmtId="0" fontId="14" fillId="0" borderId="0" xfId="0" applyFont="1" applyBorder="1" applyAlignment="1">
      <alignment vertical="center" wrapText="1"/>
    </xf>
    <xf numFmtId="0" fontId="2" fillId="0" borderId="5" xfId="0" applyFont="1" applyBorder="1" applyAlignment="1">
      <alignment horizontal="center" vertical="center"/>
    </xf>
    <xf numFmtId="0" fontId="0" fillId="0" borderId="0" xfId="0" applyBorder="1" applyAlignment="1">
      <alignment vertical="center"/>
    </xf>
    <xf numFmtId="0" fontId="12"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164" fontId="0" fillId="4" borderId="0" xfId="1" applyNumberFormat="1" applyFont="1" applyFill="1" applyAlignment="1" applyProtection="1">
      <alignment vertical="center"/>
      <protection locked="0"/>
    </xf>
    <xf numFmtId="165" fontId="0" fillId="0" borderId="0" xfId="2" applyNumberFormat="1" applyFont="1" applyFill="1" applyBorder="1"/>
    <xf numFmtId="164" fontId="12" fillId="0" borderId="0" xfId="1" applyNumberFormat="1" applyFont="1" applyBorder="1"/>
    <xf numFmtId="0" fontId="21" fillId="8" borderId="0" xfId="0" applyFont="1" applyFill="1" applyBorder="1"/>
    <xf numFmtId="0" fontId="21" fillId="8" borderId="0" xfId="0" applyFont="1" applyFill="1"/>
    <xf numFmtId="164" fontId="0" fillId="0" borderId="0" xfId="1" applyNumberFormat="1" applyFont="1" applyFill="1" applyBorder="1" applyProtection="1"/>
    <xf numFmtId="0" fontId="16" fillId="0" borderId="0" xfId="5" applyBorder="1" applyProtection="1">
      <protection locked="0"/>
    </xf>
    <xf numFmtId="0" fontId="2" fillId="0" borderId="0" xfId="0" applyFont="1"/>
    <xf numFmtId="0" fontId="12" fillId="0" borderId="0" xfId="0" applyFont="1"/>
    <xf numFmtId="164" fontId="12" fillId="0" borderId="0" xfId="1" applyNumberFormat="1" applyFont="1" applyFill="1" applyBorder="1"/>
    <xf numFmtId="0" fontId="12" fillId="0" borderId="0" xfId="0" applyFont="1" applyAlignment="1">
      <alignment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164" fontId="22" fillId="16" borderId="2" xfId="1" applyNumberFormat="1" applyFont="1" applyFill="1" applyBorder="1" applyAlignment="1">
      <alignment horizontal="right"/>
    </xf>
    <xf numFmtId="0" fontId="0" fillId="0" borderId="0" xfId="0" applyAlignment="1">
      <alignment horizontal="right"/>
    </xf>
    <xf numFmtId="164" fontId="14" fillId="4" borderId="0" xfId="1" applyNumberFormat="1" applyFont="1" applyFill="1" applyAlignment="1" applyProtection="1">
      <alignment horizontal="left" indent="4"/>
      <protection locked="0"/>
    </xf>
    <xf numFmtId="164" fontId="14" fillId="0" borderId="0" xfId="1" applyNumberFormat="1" applyFont="1" applyAlignment="1">
      <alignment horizontal="left" vertical="center" wrapText="1" indent="4"/>
    </xf>
    <xf numFmtId="164" fontId="14" fillId="0" borderId="0" xfId="1" applyNumberFormat="1" applyFont="1" applyBorder="1"/>
    <xf numFmtId="164" fontId="14" fillId="0" borderId="0" xfId="1" applyNumberFormat="1" applyFont="1" applyFill="1" applyBorder="1" applyProtection="1"/>
    <xf numFmtId="164" fontId="14" fillId="5" borderId="0" xfId="1" applyNumberFormat="1" applyFont="1" applyFill="1" applyBorder="1" applyProtection="1"/>
    <xf numFmtId="164" fontId="2" fillId="0" borderId="0" xfId="1" applyNumberFormat="1" applyFont="1" applyFill="1" applyBorder="1" applyAlignment="1">
      <alignment horizontal="right"/>
    </xf>
    <xf numFmtId="164" fontId="14" fillId="0" borderId="0" xfId="1" applyNumberFormat="1" applyFont="1" applyFill="1" applyBorder="1"/>
    <xf numFmtId="10" fontId="0" fillId="0" borderId="0" xfId="2" applyNumberFormat="1" applyFont="1"/>
    <xf numFmtId="44" fontId="0" fillId="0" borderId="0" xfId="6" applyFont="1"/>
    <xf numFmtId="0" fontId="2" fillId="0" borderId="0" xfId="0" applyFont="1" applyFill="1" applyBorder="1"/>
    <xf numFmtId="164" fontId="14" fillId="0" borderId="0" xfId="1" applyNumberFormat="1" applyFont="1"/>
    <xf numFmtId="164" fontId="14" fillId="0" borderId="0" xfId="1" applyNumberFormat="1" applyFont="1" applyFill="1" applyProtection="1"/>
    <xf numFmtId="9" fontId="0" fillId="0" borderId="0" xfId="2" applyFont="1" applyFill="1" applyBorder="1" applyAlignment="1" applyProtection="1">
      <alignment horizontal="right"/>
    </xf>
    <xf numFmtId="164" fontId="14" fillId="5" borderId="0" xfId="1" applyNumberFormat="1" applyFont="1" applyFill="1" applyProtection="1"/>
    <xf numFmtId="0" fontId="23" fillId="0" borderId="0" xfId="0" applyFont="1" applyFill="1" applyAlignment="1">
      <alignment horizontal="center"/>
    </xf>
    <xf numFmtId="0" fontId="12" fillId="0" borderId="0" xfId="0" applyFont="1" applyFill="1" applyAlignment="1">
      <alignment horizontal="center"/>
    </xf>
    <xf numFmtId="0" fontId="12" fillId="0" borderId="0" xfId="0" applyFont="1" applyFill="1" applyBorder="1" applyAlignment="1">
      <alignment horizontal="center"/>
    </xf>
    <xf numFmtId="9" fontId="0" fillId="0" borderId="0" xfId="2" applyNumberFormat="1" applyFont="1" applyFill="1" applyBorder="1" applyAlignment="1">
      <alignment horizontal="right"/>
    </xf>
    <xf numFmtId="9" fontId="0" fillId="5" borderId="0" xfId="2" applyFont="1" applyFill="1" applyBorder="1" applyAlignment="1">
      <alignment horizontal="right"/>
    </xf>
    <xf numFmtId="9" fontId="1" fillId="0" borderId="0" xfId="2" applyFont="1" applyFill="1" applyBorder="1" applyProtection="1"/>
    <xf numFmtId="164" fontId="0" fillId="6" borderId="3" xfId="1" applyNumberFormat="1" applyFont="1" applyFill="1" applyBorder="1" applyAlignment="1">
      <alignment horizontal="center"/>
    </xf>
    <xf numFmtId="164" fontId="0" fillId="6" borderId="1" xfId="1" applyNumberFormat="1" applyFont="1" applyFill="1" applyBorder="1" applyAlignment="1">
      <alignment horizontal="center"/>
    </xf>
    <xf numFmtId="164" fontId="0" fillId="0" borderId="0" xfId="1" applyNumberFormat="1" applyFont="1" applyFill="1" applyBorder="1" applyAlignment="1">
      <alignment horizontal="center"/>
    </xf>
    <xf numFmtId="0" fontId="2" fillId="6" borderId="2" xfId="0" applyFont="1" applyFill="1" applyBorder="1" applyAlignment="1">
      <alignment horizontal="center"/>
    </xf>
    <xf numFmtId="164" fontId="0" fillId="0" borderId="0" xfId="1" applyNumberFormat="1" applyFont="1"/>
    <xf numFmtId="9" fontId="0" fillId="0" borderId="0" xfId="2" applyNumberFormat="1" applyFont="1"/>
    <xf numFmtId="0" fontId="0" fillId="0" borderId="0" xfId="1" applyNumberFormat="1" applyFont="1"/>
    <xf numFmtId="44" fontId="0" fillId="5" borderId="0" xfId="6" applyFont="1" applyFill="1" applyBorder="1" applyAlignment="1">
      <alignment horizontal="right"/>
    </xf>
    <xf numFmtId="44" fontId="0" fillId="3" borderId="0" xfId="6" applyFont="1" applyFill="1" applyBorder="1" applyProtection="1"/>
    <xf numFmtId="44" fontId="0" fillId="4" borderId="0" xfId="6" applyFont="1" applyFill="1" applyBorder="1" applyAlignment="1">
      <alignment horizontal="right"/>
    </xf>
    <xf numFmtId="0" fontId="14" fillId="0" borderId="0" xfId="0" applyFont="1" applyFill="1" applyBorder="1"/>
    <xf numFmtId="0" fontId="14" fillId="0" borderId="5" xfId="0" applyFont="1" applyBorder="1"/>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wrapText="1"/>
    </xf>
    <xf numFmtId="164" fontId="14" fillId="0" borderId="0" xfId="1" applyNumberFormat="1" applyFont="1" applyAlignment="1">
      <alignment horizontal="left" indent="4"/>
    </xf>
    <xf numFmtId="164" fontId="14" fillId="0" borderId="0" xfId="1" applyNumberFormat="1" applyFont="1" applyAlignment="1">
      <alignment horizontal="left" wrapText="1" indent="4"/>
    </xf>
    <xf numFmtId="164" fontId="14" fillId="4" borderId="0" xfId="1" applyNumberFormat="1" applyFont="1" applyFill="1" applyBorder="1" applyProtection="1">
      <protection locked="0"/>
    </xf>
    <xf numFmtId="164" fontId="20" fillId="0" borderId="0" xfId="1" applyNumberFormat="1" applyFont="1" applyBorder="1"/>
    <xf numFmtId="164" fontId="0" fillId="0" borderId="0" xfId="1" applyNumberFormat="1" applyFont="1" applyProtection="1"/>
    <xf numFmtId="44" fontId="0" fillId="0" borderId="0" xfId="6" applyFont="1" applyProtection="1"/>
    <xf numFmtId="10" fontId="0" fillId="0" borderId="0" xfId="2" applyNumberFormat="1" applyFont="1" applyProtection="1"/>
    <xf numFmtId="0" fontId="0" fillId="6" borderId="4" xfId="0" applyFill="1" applyBorder="1" applyAlignment="1">
      <alignment horizontal="center"/>
    </xf>
    <xf numFmtId="0" fontId="14" fillId="0" borderId="0" xfId="0" applyFont="1" applyFill="1"/>
    <xf numFmtId="0" fontId="20" fillId="0" borderId="0" xfId="0" applyFont="1" applyFill="1" applyAlignment="1">
      <alignment horizontal="center"/>
    </xf>
    <xf numFmtId="0" fontId="2" fillId="6" borderId="3" xfId="0" applyFont="1" applyFill="1" applyBorder="1" applyAlignment="1">
      <alignment horizontal="center"/>
    </xf>
    <xf numFmtId="164" fontId="2" fillId="6" borderId="0" xfId="1" applyNumberFormat="1" applyFont="1" applyFill="1" applyBorder="1"/>
    <xf numFmtId="43" fontId="2" fillId="6" borderId="0" xfId="1" applyNumberFormat="1" applyFont="1" applyFill="1" applyBorder="1" applyAlignment="1">
      <alignment horizontal="center"/>
    </xf>
    <xf numFmtId="0" fontId="14" fillId="0" borderId="0" xfId="0" applyFont="1" applyBorder="1" applyAlignment="1">
      <alignment wrapText="1"/>
    </xf>
    <xf numFmtId="0" fontId="0" fillId="0" borderId="0" xfId="0" applyBorder="1" applyAlignment="1">
      <alignment wrapText="1"/>
    </xf>
    <xf numFmtId="0" fontId="0" fillId="0" borderId="0" xfId="0" applyAlignment="1">
      <alignment horizontal="center"/>
    </xf>
    <xf numFmtId="0" fontId="0" fillId="0" borderId="0" xfId="0" applyAlignment="1">
      <alignment horizontal="center"/>
    </xf>
    <xf numFmtId="0" fontId="2" fillId="0" borderId="1" xfId="0" applyFont="1" applyBorder="1" applyAlignment="1">
      <alignment vertical="top" wrapText="1"/>
    </xf>
    <xf numFmtId="0" fontId="0" fillId="0" borderId="1" xfId="0" applyFont="1" applyBorder="1" applyAlignment="1">
      <alignment vertical="top" wrapText="1"/>
    </xf>
    <xf numFmtId="0" fontId="14" fillId="0" borderId="1" xfId="0" applyFont="1" applyBorder="1" applyAlignment="1">
      <alignment vertical="top" wrapText="1"/>
    </xf>
    <xf numFmtId="0" fontId="0" fillId="0" borderId="1" xfId="0" applyBorder="1" applyAlignment="1" applyProtection="1">
      <alignment horizontal="center" vertical="center"/>
      <protection locked="0"/>
    </xf>
    <xf numFmtId="0" fontId="0" fillId="0" borderId="1" xfId="0" applyBorder="1" applyAlignment="1">
      <alignment horizontal="center" vertical="top"/>
    </xf>
    <xf numFmtId="164" fontId="0" fillId="0" borderId="0" xfId="1" applyNumberFormat="1" applyFont="1" applyProtection="1"/>
    <xf numFmtId="0" fontId="2" fillId="0" borderId="0" xfId="0" applyFont="1" applyBorder="1" applyAlignment="1"/>
    <xf numFmtId="0" fontId="14" fillId="0" borderId="0" xfId="0" quotePrefix="1" applyFont="1" applyBorder="1" applyAlignment="1">
      <alignment vertical="center" wrapText="1"/>
    </xf>
    <xf numFmtId="0" fontId="0" fillId="0" borderId="0" xfId="0" applyFont="1" applyAlignment="1">
      <alignment vertical="top" wrapText="1"/>
    </xf>
    <xf numFmtId="164" fontId="4" fillId="0" borderId="0" xfId="1" applyNumberFormat="1" applyFont="1" applyAlignment="1">
      <alignment horizontal="right" wrapText="1"/>
    </xf>
    <xf numFmtId="0" fontId="14" fillId="9" borderId="0" xfId="0" applyFont="1" applyFill="1"/>
    <xf numFmtId="168" fontId="14" fillId="7" borderId="0" xfId="2" applyNumberFormat="1" applyFont="1" applyFill="1" applyBorder="1" applyProtection="1"/>
    <xf numFmtId="168" fontId="0" fillId="7" borderId="0" xfId="2" applyNumberFormat="1" applyFont="1" applyFill="1" applyBorder="1"/>
    <xf numFmtId="0" fontId="12" fillId="6" borderId="0" xfId="0" applyFont="1" applyFill="1" applyAlignment="1">
      <alignment horizontal="center"/>
    </xf>
    <xf numFmtId="0" fontId="0" fillId="3" borderId="0" xfId="0" applyFill="1"/>
    <xf numFmtId="168" fontId="0" fillId="0" borderId="0" xfId="0" applyNumberFormat="1"/>
    <xf numFmtId="0" fontId="2" fillId="4" borderId="2" xfId="0" applyFont="1" applyFill="1" applyBorder="1"/>
    <xf numFmtId="169" fontId="14" fillId="5" borderId="0" xfId="2" applyNumberFormat="1" applyFont="1" applyFill="1" applyProtection="1"/>
    <xf numFmtId="170" fontId="0" fillId="5" borderId="0" xfId="6" applyNumberFormat="1" applyFont="1" applyFill="1" applyBorder="1" applyAlignment="1">
      <alignment horizontal="right"/>
    </xf>
    <xf numFmtId="43" fontId="0" fillId="3" borderId="2" xfId="1" applyNumberFormat="1" applyFont="1" applyFill="1" applyBorder="1" applyAlignment="1">
      <alignment horizontal="center" wrapText="1"/>
    </xf>
    <xf numFmtId="168" fontId="14" fillId="0" borderId="0" xfId="0" applyNumberFormat="1" applyFont="1" applyFill="1"/>
    <xf numFmtId="168" fontId="14" fillId="5" borderId="0" xfId="2" applyNumberFormat="1" applyFont="1" applyFill="1" applyBorder="1" applyAlignment="1">
      <alignment horizontal="right"/>
    </xf>
    <xf numFmtId="164" fontId="0" fillId="0" borderId="9" xfId="1" applyNumberFormat="1" applyFont="1" applyBorder="1" applyAlignment="1">
      <alignment horizontal="center"/>
    </xf>
    <xf numFmtId="164" fontId="4" fillId="0" borderId="4" xfId="1" applyNumberFormat="1" applyFont="1" applyBorder="1" applyAlignment="1">
      <alignment horizontal="center"/>
    </xf>
    <xf numFmtId="0" fontId="0" fillId="9" borderId="0" xfId="0" applyNumberFormat="1" applyFill="1" applyAlignment="1">
      <alignment horizontal="left"/>
    </xf>
    <xf numFmtId="0" fontId="0" fillId="9" borderId="0" xfId="0" applyNumberFormat="1" applyFill="1"/>
    <xf numFmtId="168" fontId="0" fillId="5" borderId="0" xfId="2" applyNumberFormat="1" applyFont="1" applyFill="1"/>
    <xf numFmtId="168" fontId="0" fillId="5" borderId="0" xfId="2" applyNumberFormat="1" applyFont="1" applyFill="1" applyAlignment="1">
      <alignment horizontal="center"/>
    </xf>
    <xf numFmtId="168" fontId="1" fillId="5" borderId="0" xfId="2" applyNumberFormat="1" applyFont="1" applyFill="1" applyAlignment="1">
      <alignment horizontal="center"/>
    </xf>
    <xf numFmtId="171" fontId="0" fillId="5" borderId="0" xfId="2" applyNumberFormat="1" applyFont="1" applyFill="1" applyBorder="1"/>
    <xf numFmtId="169" fontId="0" fillId="5" borderId="9" xfId="2" applyNumberFormat="1" applyFont="1" applyFill="1" applyBorder="1"/>
    <xf numFmtId="168" fontId="0" fillId="17" borderId="0" xfId="0" applyNumberFormat="1" applyFill="1"/>
    <xf numFmtId="0" fontId="0" fillId="0" borderId="0" xfId="0" applyAlignment="1">
      <alignment vertical="center" wrapText="1"/>
    </xf>
    <xf numFmtId="0" fontId="0" fillId="0" borderId="0" xfId="6" applyNumberFormat="1" applyFont="1" applyProtection="1"/>
    <xf numFmtId="9" fontId="1" fillId="0" borderId="0" xfId="2" applyFont="1" applyFill="1" applyBorder="1" applyAlignment="1" applyProtection="1">
      <alignment horizontal="center"/>
    </xf>
    <xf numFmtId="9" fontId="1" fillId="7" borderId="2" xfId="2" applyFont="1" applyFill="1" applyBorder="1" applyAlignment="1">
      <alignment horizontal="center"/>
    </xf>
    <xf numFmtId="0" fontId="23" fillId="0" borderId="0" xfId="0" applyFont="1"/>
    <xf numFmtId="9" fontId="14" fillId="0" borderId="0" xfId="0" applyNumberFormat="1" applyFont="1" applyFill="1"/>
    <xf numFmtId="164" fontId="0" fillId="4" borderId="0" xfId="7" applyNumberFormat="1" applyFont="1" applyFill="1" applyProtection="1">
      <protection locked="0"/>
    </xf>
    <xf numFmtId="0" fontId="14" fillId="0" borderId="0" xfId="0" applyFont="1" applyAlignment="1">
      <alignment vertical="center" wrapText="1"/>
    </xf>
    <xf numFmtId="0" fontId="0" fillId="0" borderId="0" xfId="0" applyAlignment="1">
      <alignment vertical="center" wrapText="1"/>
    </xf>
    <xf numFmtId="0" fontId="28" fillId="0" borderId="0" xfId="0" applyFont="1" applyAlignment="1">
      <alignment vertical="center" wrapText="1"/>
    </xf>
    <xf numFmtId="164" fontId="0" fillId="3" borderId="0" xfId="1" applyNumberFormat="1" applyFont="1" applyFill="1" applyBorder="1" applyAlignment="1">
      <alignment horizontal="center" wrapText="1"/>
    </xf>
    <xf numFmtId="164" fontId="20" fillId="0" borderId="0" xfId="1" applyNumberFormat="1" applyFont="1" applyBorder="1" applyAlignment="1">
      <alignment horizontal="right"/>
    </xf>
    <xf numFmtId="43" fontId="25" fillId="0" borderId="0" xfId="1" applyNumberFormat="1" applyFont="1" applyBorder="1" applyAlignment="1">
      <alignment horizontal="center"/>
    </xf>
    <xf numFmtId="164" fontId="20" fillId="0" borderId="0" xfId="1" applyNumberFormat="1" applyFont="1" applyBorder="1" applyAlignment="1">
      <alignment horizontal="right" vertical="center"/>
    </xf>
    <xf numFmtId="0" fontId="16" fillId="0" borderId="0" xfId="5" applyBorder="1" applyAlignment="1" applyProtection="1">
      <alignment horizontal="left"/>
      <protection locked="0"/>
    </xf>
    <xf numFmtId="0" fontId="20" fillId="0" borderId="0" xfId="0" applyFont="1" applyAlignment="1">
      <alignment horizontal="right"/>
    </xf>
    <xf numFmtId="0" fontId="20" fillId="0" borderId="0" xfId="0" applyFont="1" applyBorder="1" applyAlignment="1">
      <alignment horizontal="right"/>
    </xf>
    <xf numFmtId="0" fontId="12" fillId="0" borderId="0" xfId="0" applyFont="1" applyFill="1" applyAlignment="1">
      <alignment horizontal="center"/>
    </xf>
    <xf numFmtId="164" fontId="2" fillId="0" borderId="0" xfId="1" applyNumberFormat="1" applyFont="1" applyAlignment="1">
      <alignment horizontal="center"/>
    </xf>
    <xf numFmtId="164" fontId="14" fillId="0" borderId="0" xfId="1" applyNumberFormat="1" applyFont="1" applyAlignment="1">
      <alignment horizontal="left" vertical="center" wrapText="1"/>
    </xf>
    <xf numFmtId="164" fontId="14" fillId="0" borderId="14" xfId="1" applyNumberFormat="1" applyFont="1" applyBorder="1" applyAlignment="1">
      <alignment horizontal="left" vertical="center" wrapText="1"/>
    </xf>
    <xf numFmtId="0" fontId="20" fillId="0" borderId="15" xfId="0" applyFont="1" applyBorder="1" applyAlignment="1">
      <alignment horizontal="left" wrapText="1"/>
    </xf>
    <xf numFmtId="0" fontId="20" fillId="0" borderId="0" xfId="0" applyFont="1" applyAlignment="1">
      <alignment horizontal="left" wrapText="1"/>
    </xf>
    <xf numFmtId="0" fontId="14"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vertical="center"/>
    </xf>
    <xf numFmtId="0" fontId="0" fillId="0" borderId="0" xfId="0" applyFont="1" applyBorder="1" applyAlignment="1">
      <alignment wrapText="1"/>
    </xf>
    <xf numFmtId="0" fontId="21" fillId="8" borderId="0" xfId="0" applyFont="1" applyFill="1" applyAlignment="1">
      <alignment wrapText="1"/>
    </xf>
    <xf numFmtId="0" fontId="14" fillId="0" borderId="1" xfId="0" applyFont="1" applyBorder="1" applyAlignment="1">
      <alignment horizontal="left" vertical="center" wrapText="1"/>
    </xf>
    <xf numFmtId="0" fontId="0" fillId="4" borderId="0" xfId="0" applyFill="1" applyBorder="1" applyAlignment="1" applyProtection="1">
      <alignment horizontal="center" vertical="center"/>
      <protection locked="0"/>
    </xf>
    <xf numFmtId="0" fontId="0" fillId="0" borderId="0" xfId="0" applyAlignment="1">
      <alignment horizontal="center"/>
    </xf>
    <xf numFmtId="0" fontId="0" fillId="0" borderId="0" xfId="0" applyBorder="1" applyAlignment="1">
      <alignment horizontal="center" vertical="center" wrapText="1"/>
    </xf>
  </cellXfs>
  <cellStyles count="9">
    <cellStyle name="Comma" xfId="1" builtinId="3"/>
    <cellStyle name="Comma 2" xfId="7" xr:uid="{00000000-0005-0000-0000-000001000000}"/>
    <cellStyle name="Currency" xfId="6" builtinId="4"/>
    <cellStyle name="Currency 2" xfId="8" xr:uid="{00000000-0005-0000-0000-000003000000}"/>
    <cellStyle name="Hyperlink" xfId="5" builtinId="8"/>
    <cellStyle name="Normal" xfId="0" builtinId="0"/>
    <cellStyle name="Normal 2" xfId="3" xr:uid="{00000000-0005-0000-0000-000006000000}"/>
    <cellStyle name="Percent" xfId="2" builtinId="5"/>
    <cellStyle name="Percent 2" xfId="4" xr:uid="{00000000-0005-0000-0000-000008000000}"/>
  </cellStyles>
  <dxfs count="5">
    <dxf>
      <font>
        <color rgb="FF00B0F0"/>
      </font>
    </dxf>
    <dxf>
      <font>
        <color rgb="FF00B0F0"/>
      </font>
    </dxf>
    <dxf>
      <font>
        <color theme="0" tint="-0.34998626667073579"/>
      </font>
    </dxf>
    <dxf>
      <font>
        <color theme="0" tint="-0.24994659260841701"/>
      </font>
    </dxf>
    <dxf>
      <font>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21</xdr:row>
      <xdr:rowOff>38099</xdr:rowOff>
    </xdr:from>
    <xdr:to>
      <xdr:col>3</xdr:col>
      <xdr:colOff>142875</xdr:colOff>
      <xdr:row>23</xdr:row>
      <xdr:rowOff>48682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33400" y="4419599"/>
          <a:ext cx="1057275" cy="391583"/>
        </a:xfrm>
        <a:prstGeom prst="rect">
          <a:avLst/>
        </a:prstGeom>
      </xdr:spPr>
    </xdr:pic>
    <xdr:clientData/>
  </xdr:twoCellAnchor>
  <xdr:twoCellAnchor editAs="oneCell">
    <xdr:from>
      <xdr:col>7</xdr:col>
      <xdr:colOff>561976</xdr:colOff>
      <xdr:row>20</xdr:row>
      <xdr:rowOff>19050</xdr:rowOff>
    </xdr:from>
    <xdr:to>
      <xdr:col>10</xdr:col>
      <xdr:colOff>354104</xdr:colOff>
      <xdr:row>24</xdr:row>
      <xdr:rowOff>104775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448176" y="3638550"/>
          <a:ext cx="1616166"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1549400</xdr:colOff>
          <xdr:row>38</xdr:row>
          <xdr:rowOff>38100</xdr:rowOff>
        </xdr:from>
        <xdr:to>
          <xdr:col>6</xdr:col>
          <xdr:colOff>76200</xdr:colOff>
          <xdr:row>39</xdr:row>
          <xdr:rowOff>190500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suivant : </a:t>
              </a:r>
            </a:p>
            <a:p>
              <a:pPr algn="l" rtl="0">
                <a:defRPr sz="1000"/>
              </a:pPr>
              <a:r>
                <a:rPr lang="en-CA" sz="800" b="0" i="0" u="none" strike="noStrike" baseline="0">
                  <a:solidFill>
                    <a:srgbClr val="000000"/>
                  </a:solidFill>
                  <a:latin typeface="Arial"/>
                  <a:cs typeface="Arial"/>
                </a:rPr>
                <a:t>Portion résidentielle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139700</xdr:colOff>
          <xdr:row>41</xdr:row>
          <xdr:rowOff>38100</xdr:rowOff>
        </xdr:from>
        <xdr:to>
          <xdr:col>1</xdr:col>
          <xdr:colOff>977900</xdr:colOff>
          <xdr:row>42</xdr:row>
          <xdr:rowOff>190500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1549400</xdr:colOff>
          <xdr:row>41</xdr:row>
          <xdr:rowOff>38100</xdr:rowOff>
        </xdr:from>
        <xdr:to>
          <xdr:col>6</xdr:col>
          <xdr:colOff>76200</xdr:colOff>
          <xdr:row>42</xdr:row>
          <xdr:rowOff>177800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tout réinitialiser</a:t>
              </a:r>
            </a:p>
            <a:p>
              <a:pPr algn="ctr" rtl="0">
                <a:defRPr sz="1000"/>
              </a:pPr>
              <a:endParaRPr lang="en-CA" sz="800" b="0" i="0" u="none" strike="noStrike" baseline="0">
                <a:solidFill>
                  <a:srgbClr val="000000"/>
                </a:solidFill>
                <a:latin typeface="Arial"/>
                <a:cs typeface="Arial"/>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1892300</xdr:colOff>
          <xdr:row>133</xdr:row>
          <xdr:rowOff>25400</xdr:rowOff>
        </xdr:from>
        <xdr:to>
          <xdr:col>2</xdr:col>
          <xdr:colOff>304800</xdr:colOff>
          <xdr:row>134</xdr:row>
          <xdr:rowOff>177800</xdr:rowOff>
        </xdr:to>
        <xdr:sp macro="" textlink="">
          <xdr:nvSpPr>
            <xdr:cNvPr id="4101" name="Button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suivant : </a:t>
              </a:r>
            </a:p>
            <a:p>
              <a:pPr algn="l" rtl="0">
                <a:defRPr sz="1000"/>
              </a:pPr>
              <a:r>
                <a:rPr lang="en-CA" sz="800" b="0" i="0" u="none" strike="noStrike" baseline="0">
                  <a:solidFill>
                    <a:srgbClr val="000000"/>
                  </a:solidFill>
                  <a:latin typeface="Arial"/>
                  <a:cs typeface="Arial"/>
                </a:rPr>
                <a:t>Portion non résidentielle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133</xdr:row>
          <xdr:rowOff>25400</xdr:rowOff>
        </xdr:from>
        <xdr:to>
          <xdr:col>1</xdr:col>
          <xdr:colOff>990600</xdr:colOff>
          <xdr:row>134</xdr:row>
          <xdr:rowOff>177800</xdr:rowOff>
        </xdr:to>
        <xdr:sp macro="" textlink="">
          <xdr:nvSpPr>
            <xdr:cNvPr id="4102" name="Button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précédent : </a:t>
              </a:r>
            </a:p>
            <a:p>
              <a:pPr algn="l" rtl="0">
                <a:defRPr sz="1000"/>
              </a:pPr>
              <a:r>
                <a:rPr lang="en-CA" sz="800" b="0" i="0" u="none" strike="noStrike" baseline="0">
                  <a:solidFill>
                    <a:srgbClr val="000000"/>
                  </a:solidFill>
                  <a:latin typeface="Arial"/>
                  <a:cs typeface="Arial"/>
                </a:rPr>
                <a:t>Budget de l'ensemble</a:t>
              </a:r>
            </a:p>
          </xdr:txBody>
        </xdr:sp>
        <xdr:clientData fPrintsWithSheet="0"/>
      </xdr:twoCellAnchor>
    </mc:Choice>
    <mc:Fallback/>
  </mc:AlternateContent>
  <xdr:twoCellAnchor>
    <xdr:from>
      <xdr:col>8</xdr:col>
      <xdr:colOff>825501</xdr:colOff>
      <xdr:row>123</xdr:row>
      <xdr:rowOff>179917</xdr:rowOff>
    </xdr:from>
    <xdr:to>
      <xdr:col>9</xdr:col>
      <xdr:colOff>179920</xdr:colOff>
      <xdr:row>124</xdr:row>
      <xdr:rowOff>148166</xdr:rowOff>
    </xdr:to>
    <xdr:cxnSp macro="">
      <xdr:nvCxnSpPr>
        <xdr:cNvPr id="9" name="Elbow Connector 4">
          <a:extLst>
            <a:ext uri="{FF2B5EF4-FFF2-40B4-BE49-F238E27FC236}">
              <a16:creationId xmlns:a16="http://schemas.microsoft.com/office/drawing/2014/main" id="{00000000-0008-0000-0300-000009000000}"/>
            </a:ext>
          </a:extLst>
        </xdr:cNvPr>
        <xdr:cNvCxnSpPr/>
      </xdr:nvCxnSpPr>
      <xdr:spPr>
        <a:xfrm rot="10800000" flipV="1">
          <a:off x="8902701" y="23468542"/>
          <a:ext cx="402169" cy="15874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152400</xdr:colOff>
          <xdr:row>137</xdr:row>
          <xdr:rowOff>38100</xdr:rowOff>
        </xdr:from>
        <xdr:to>
          <xdr:col>1</xdr:col>
          <xdr:colOff>990600</xdr:colOff>
          <xdr:row>138</xdr:row>
          <xdr:rowOff>190500</xdr:rowOff>
        </xdr:to>
        <xdr:sp macro="" textlink="">
          <xdr:nvSpPr>
            <xdr:cNvPr id="4103" name="Button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137</xdr:row>
          <xdr:rowOff>38100</xdr:rowOff>
        </xdr:from>
        <xdr:to>
          <xdr:col>2</xdr:col>
          <xdr:colOff>342900</xdr:colOff>
          <xdr:row>138</xdr:row>
          <xdr:rowOff>177800</xdr:rowOff>
        </xdr:to>
        <xdr:sp macro="" textlink="">
          <xdr:nvSpPr>
            <xdr:cNvPr id="4104" name="Button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tout réinitialiser</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95</xdr:row>
          <xdr:rowOff>38100</xdr:rowOff>
        </xdr:from>
        <xdr:to>
          <xdr:col>1</xdr:col>
          <xdr:colOff>838200</xdr:colOff>
          <xdr:row>96</xdr:row>
          <xdr:rowOff>190500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précédent : </a:t>
              </a:r>
            </a:p>
            <a:p>
              <a:pPr algn="l" rtl="0">
                <a:defRPr sz="1000"/>
              </a:pPr>
              <a:r>
                <a:rPr lang="en-CA" sz="800" b="0" i="0" u="none" strike="noStrike" baseline="0">
                  <a:solidFill>
                    <a:srgbClr val="000000"/>
                  </a:solidFill>
                  <a:latin typeface="Arial"/>
                  <a:cs typeface="Arial"/>
                </a:rPr>
                <a:t>Portion résidentielle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330200</xdr:colOff>
          <xdr:row>95</xdr:row>
          <xdr:rowOff>38100</xdr:rowOff>
        </xdr:from>
        <xdr:to>
          <xdr:col>2</xdr:col>
          <xdr:colOff>1168400</xdr:colOff>
          <xdr:row>96</xdr:row>
          <xdr:rowOff>190500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suivant : </a:t>
              </a:r>
            </a:p>
            <a:p>
              <a:pPr algn="l" rtl="0">
                <a:defRPr sz="1000"/>
              </a:pPr>
              <a:r>
                <a:rPr lang="en-CA" sz="800" b="0" i="0" u="none" strike="noStrike" baseline="0">
                  <a:solidFill>
                    <a:srgbClr val="000000"/>
                  </a:solidFill>
                  <a:latin typeface="Arial"/>
                  <a:cs typeface="Arial"/>
                </a:rPr>
                <a:t>Admissibilité et rés. sociaux</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177800</xdr:colOff>
          <xdr:row>99</xdr:row>
          <xdr:rowOff>25400</xdr:rowOff>
        </xdr:from>
        <xdr:to>
          <xdr:col>1</xdr:col>
          <xdr:colOff>838200</xdr:colOff>
          <xdr:row>100</xdr:row>
          <xdr:rowOff>177800</xdr:rowOff>
        </xdr:to>
        <xdr:sp macro="" textlink="">
          <xdr:nvSpPr>
            <xdr:cNvPr id="5127" name="Button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330200</xdr:colOff>
          <xdr:row>99</xdr:row>
          <xdr:rowOff>38100</xdr:rowOff>
        </xdr:from>
        <xdr:to>
          <xdr:col>2</xdr:col>
          <xdr:colOff>1168400</xdr:colOff>
          <xdr:row>100</xdr:row>
          <xdr:rowOff>177800</xdr:rowOff>
        </xdr:to>
        <xdr:sp macro="" textlink="">
          <xdr:nvSpPr>
            <xdr:cNvPr id="5128" name="Button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tout réinitialiser</a:t>
              </a:r>
            </a:p>
          </xdr:txBody>
        </xdr:sp>
        <xdr:clientData fPrintsWithSheet="0"/>
      </xdr:twoCellAnchor>
    </mc:Choice>
    <mc:Fallback/>
  </mc:AlternateContent>
  <xdr:twoCellAnchor>
    <xdr:from>
      <xdr:col>6</xdr:col>
      <xdr:colOff>825501</xdr:colOff>
      <xdr:row>90</xdr:row>
      <xdr:rowOff>179917</xdr:rowOff>
    </xdr:from>
    <xdr:to>
      <xdr:col>7</xdr:col>
      <xdr:colOff>179920</xdr:colOff>
      <xdr:row>91</xdr:row>
      <xdr:rowOff>148166</xdr:rowOff>
    </xdr:to>
    <xdr:cxnSp macro="">
      <xdr:nvCxnSpPr>
        <xdr:cNvPr id="6" name="Elbow Connector 5">
          <a:extLst>
            <a:ext uri="{FF2B5EF4-FFF2-40B4-BE49-F238E27FC236}">
              <a16:creationId xmlns:a16="http://schemas.microsoft.com/office/drawing/2014/main" id="{00000000-0008-0000-0400-000006000000}"/>
            </a:ext>
          </a:extLst>
        </xdr:cNvPr>
        <xdr:cNvCxnSpPr/>
      </xdr:nvCxnSpPr>
      <xdr:spPr>
        <a:xfrm rot="10800000" flipV="1">
          <a:off x="8902701" y="23468542"/>
          <a:ext cx="402169" cy="15874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25400</xdr:colOff>
          <xdr:row>93</xdr:row>
          <xdr:rowOff>25400</xdr:rowOff>
        </xdr:from>
        <xdr:to>
          <xdr:col>1</xdr:col>
          <xdr:colOff>863600</xdr:colOff>
          <xdr:row>94</xdr:row>
          <xdr:rowOff>177800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500-000003040000}"/>
                </a:ext>
              </a:extLst>
            </xdr:cNvPr>
            <xdr:cNvSpPr/>
          </xdr:nvSpPr>
          <xdr:spPr bwMode="auto">
            <a:xfrm>
              <a:off x="0" y="0"/>
              <a:ext cx="0" cy="0"/>
            </a:xfrm>
            <a:prstGeom prst="rect">
              <a:avLst/>
            </a:prstGeom>
            <a:noFill/>
            <a:ln w="9525">
              <a:miter lim="800000"/>
              <a:headEnd/>
              <a:tailEnd/>
            </a:ln>
          </xdr:spPr>
          <xdr:txBody>
            <a:bodyPr vertOverflow="clip" wrap="square" lIns="36576" tIns="22860" rIns="0" bIns="22860" anchor="ctr" upright="1"/>
            <a:lstStyle/>
            <a:p>
              <a:pPr algn="l" rtl="0">
                <a:defRPr sz="1000"/>
              </a:pPr>
              <a:r>
                <a:rPr lang="en-CA" sz="800" b="0" i="0" u="none" strike="noStrike" baseline="0">
                  <a:solidFill>
                    <a:srgbClr val="000000"/>
                  </a:solidFill>
                  <a:latin typeface="Arial"/>
                  <a:cs typeface="Arial"/>
                </a:rPr>
                <a:t>précédent : </a:t>
              </a:r>
            </a:p>
            <a:p>
              <a:pPr algn="l" rtl="0">
                <a:defRPr sz="1000"/>
              </a:pPr>
              <a:r>
                <a:rPr lang="en-CA" sz="800" b="0" i="0" u="none" strike="noStrike" baseline="0">
                  <a:solidFill>
                    <a:srgbClr val="000000"/>
                  </a:solidFill>
                  <a:latin typeface="Arial"/>
                  <a:cs typeface="Arial"/>
                </a:rPr>
                <a:t>Portion non résidentielle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38100</xdr:rowOff>
        </xdr:from>
        <xdr:to>
          <xdr:col>1</xdr:col>
          <xdr:colOff>838200</xdr:colOff>
          <xdr:row>97</xdr:row>
          <xdr:rowOff>190500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500-000004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réinitialiser la page</a:t>
              </a:r>
            </a:p>
            <a:p>
              <a:pPr algn="ctr" rtl="0">
                <a:defRPr sz="1000"/>
              </a:pPr>
              <a:endParaRPr lang="en-CA" sz="800" b="0" i="0" u="none" strike="noStrike" baseline="0">
                <a:solidFill>
                  <a:srgbClr val="000000"/>
                </a:solidFill>
                <a:latin typeface="Arial"/>
                <a:cs typeface="Arial"/>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1016000</xdr:colOff>
          <xdr:row>96</xdr:row>
          <xdr:rowOff>38100</xdr:rowOff>
        </xdr:from>
        <xdr:to>
          <xdr:col>1</xdr:col>
          <xdr:colOff>1854200</xdr:colOff>
          <xdr:row>97</xdr:row>
          <xdr:rowOff>190500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500-0000070400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CA" sz="800" b="0" i="0" u="none" strike="noStrike" baseline="0">
                  <a:solidFill>
                    <a:srgbClr val="000000"/>
                  </a:solidFill>
                  <a:latin typeface="Arial"/>
                  <a:cs typeface="Arial"/>
                </a:rPr>
                <a:t>tout réinitialiser</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mhcschl.sharepoint.com/Users/Natalie/Documents/Traduction/Koch%20Richard/SCHL/R02070/18-01342%20-%20RCF-UpdatedSelfAssessmentTool-EN-2018-01-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Summary"/>
      <sheetName val="Cover Page"/>
      <sheetName val="Project Details"/>
      <sheetName val="Project Budget"/>
      <sheetName val="Residential New"/>
      <sheetName val="Non-Residential"/>
      <sheetName val="Eligibility and Social Outcome"/>
      <sheetName val="Mortg Calc"/>
      <sheetName val="18-01342 - RCF-UpdatedSelfAsses"/>
    </sheetNames>
    <definedNames>
      <definedName name="gotoSheet_NonResidential"/>
      <definedName name="gotoSheet_ProjectBudget"/>
      <definedName name="resetAll"/>
      <definedName name="resetThisPage"/>
    </defined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4.bin"/><Relationship Id="rId7" Type="http://schemas.openxmlformats.org/officeDocument/2006/relationships/ctrlProp" Target="../ctrlProps/ctrlProp5.xml"/><Relationship Id="rId2" Type="http://schemas.openxmlformats.org/officeDocument/2006/relationships/hyperlink" Target="http://www.statcan.gc.ca/tables-tableaux/sum-som/l02/cst01/famil107a-fra.htm" TargetMode="External"/><Relationship Id="rId1" Type="http://schemas.openxmlformats.org/officeDocument/2006/relationships/hyperlink" Target="https://www150.statcan.gc.ca/t1/tbl1/fr/tv.action?pid=1110000901&amp;pickMembers%5B0%5D=1.1&amp;cubeTimeFrame.startYear=2014&amp;cubeTimeFrame.endYear=2018&amp;referencePeriods=20140101%2C20180101"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18"/>
  <sheetViews>
    <sheetView showGridLines="0" zoomScale="115" zoomScaleNormal="115" workbookViewId="0">
      <selection activeCell="B18" sqref="B18"/>
    </sheetView>
  </sheetViews>
  <sheetFormatPr defaultColWidth="9.08984375" defaultRowHeight="14.5"/>
  <cols>
    <col min="1" max="1" width="29.453125" bestFit="1" customWidth="1"/>
    <col min="2" max="2" width="14.36328125" bestFit="1" customWidth="1"/>
  </cols>
  <sheetData>
    <row r="2" spans="1:2">
      <c r="A2" t="s">
        <v>21</v>
      </c>
      <c r="B2" s="56" t="e">
        <f>('Portion résidentielle'!I101+'Portion non résidentielle'!G71)/('Portion résidentielle'!I110+'Portion non résidentielle'!G79)</f>
        <v>#DIV/0!</v>
      </c>
    </row>
    <row r="4" spans="1:2">
      <c r="A4" t="s">
        <v>22</v>
      </c>
      <c r="B4" s="57" t="e">
        <f>('Portion résidentielle'!I106+'Portion non résidentielle'!G75)/'Budget de l''ensemble'!E25</f>
        <v>#DIV/0!</v>
      </c>
    </row>
    <row r="6" spans="1:2">
      <c r="A6" t="s">
        <v>23</v>
      </c>
      <c r="B6" s="50">
        <f>'Portion résidentielle'!I106+'Portion non résidentielle'!G75</f>
        <v>0</v>
      </c>
    </row>
    <row r="8" spans="1:2">
      <c r="A8" t="s">
        <v>24</v>
      </c>
      <c r="B8" s="58" t="e">
        <f>'Portion résidentielle'!#REF!</f>
        <v>#REF!</v>
      </c>
    </row>
    <row r="10" spans="1:2">
      <c r="A10" t="s">
        <v>28</v>
      </c>
      <c r="B10" s="58" t="str">
        <f>'Portion résidentielle'!K52</f>
        <v>Non</v>
      </c>
    </row>
    <row r="12" spans="1:2">
      <c r="A12" t="s">
        <v>26</v>
      </c>
      <c r="B12" s="58">
        <f>'Portion résidentielle'!R57</f>
        <v>0</v>
      </c>
    </row>
    <row r="13" spans="1:2">
      <c r="A13" t="s">
        <v>25</v>
      </c>
      <c r="B13" s="58">
        <f>'Portion résidentielle'!S57</f>
        <v>0</v>
      </c>
    </row>
    <row r="14" spans="1:2">
      <c r="A14" t="s">
        <v>27</v>
      </c>
      <c r="B14" s="58">
        <f>'Portion résidentielle'!T57</f>
        <v>0</v>
      </c>
    </row>
    <row r="16" spans="1:2">
      <c r="A16" t="s">
        <v>31</v>
      </c>
      <c r="B16" s="58" t="str">
        <f>'Admissibilité et rés. sociaux'!G32</f>
        <v>Non</v>
      </c>
    </row>
    <row r="18" spans="1:2">
      <c r="A18" t="s">
        <v>32</v>
      </c>
      <c r="B18" s="58" t="str">
        <f>'Admissibilité et rés. sociaux'!H90</f>
        <v>RPC jusqu’à 90 %, portion résid.</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4:K20"/>
  <sheetViews>
    <sheetView showGridLines="0" tabSelected="1" workbookViewId="0">
      <selection activeCell="L25" sqref="L25"/>
    </sheetView>
  </sheetViews>
  <sheetFormatPr defaultColWidth="9.08984375" defaultRowHeight="14.5"/>
  <cols>
    <col min="1" max="1" width="3.453125" customWidth="1"/>
  </cols>
  <sheetData>
    <row r="4" spans="2:11">
      <c r="B4" s="342" t="s">
        <v>297</v>
      </c>
      <c r="C4" s="343"/>
      <c r="D4" s="343"/>
      <c r="E4" s="343"/>
      <c r="F4" s="343"/>
      <c r="G4" s="343"/>
      <c r="H4" s="343"/>
      <c r="I4" s="343"/>
      <c r="J4" s="343"/>
      <c r="K4" s="343"/>
    </row>
    <row r="5" spans="2:11">
      <c r="B5" s="343"/>
      <c r="C5" s="343"/>
      <c r="D5" s="343"/>
      <c r="E5" s="343"/>
      <c r="F5" s="343"/>
      <c r="G5" s="343"/>
      <c r="H5" s="343"/>
      <c r="I5" s="343"/>
      <c r="J5" s="343"/>
      <c r="K5" s="343"/>
    </row>
    <row r="6" spans="2:11">
      <c r="B6" s="343"/>
      <c r="C6" s="343"/>
      <c r="D6" s="343"/>
      <c r="E6" s="343"/>
      <c r="F6" s="343"/>
      <c r="G6" s="343"/>
      <c r="H6" s="343"/>
      <c r="I6" s="343"/>
      <c r="J6" s="343"/>
      <c r="K6" s="343"/>
    </row>
    <row r="7" spans="2:11">
      <c r="B7" s="343"/>
      <c r="C7" s="343"/>
      <c r="D7" s="343"/>
      <c r="E7" s="343"/>
      <c r="F7" s="343"/>
      <c r="G7" s="343"/>
      <c r="H7" s="343"/>
      <c r="I7" s="343"/>
      <c r="J7" s="343"/>
      <c r="K7" s="343"/>
    </row>
    <row r="8" spans="2:11">
      <c r="B8" s="343"/>
      <c r="C8" s="343"/>
      <c r="D8" s="343"/>
      <c r="E8" s="343"/>
      <c r="F8" s="343"/>
      <c r="G8" s="343"/>
      <c r="H8" s="343"/>
      <c r="I8" s="343"/>
      <c r="J8" s="343"/>
      <c r="K8" s="343"/>
    </row>
    <row r="9" spans="2:11">
      <c r="B9" s="343"/>
      <c r="C9" s="343"/>
      <c r="D9" s="343"/>
      <c r="E9" s="343"/>
      <c r="F9" s="343"/>
      <c r="G9" s="343"/>
      <c r="H9" s="343"/>
      <c r="I9" s="343"/>
      <c r="J9" s="343"/>
      <c r="K9" s="343"/>
    </row>
    <row r="10" spans="2:11">
      <c r="B10" s="343"/>
      <c r="C10" s="343"/>
      <c r="D10" s="343"/>
      <c r="E10" s="343"/>
      <c r="F10" s="343"/>
      <c r="G10" s="343"/>
      <c r="H10" s="343"/>
      <c r="I10" s="343"/>
      <c r="J10" s="343"/>
      <c r="K10" s="343"/>
    </row>
    <row r="11" spans="2:11">
      <c r="B11" s="343"/>
      <c r="C11" s="343"/>
      <c r="D11" s="343"/>
      <c r="E11" s="343"/>
      <c r="F11" s="343"/>
      <c r="G11" s="343"/>
      <c r="H11" s="343"/>
      <c r="I11" s="343"/>
      <c r="J11" s="343"/>
      <c r="K11" s="343"/>
    </row>
    <row r="12" spans="2:11">
      <c r="B12" s="343"/>
      <c r="C12" s="343"/>
      <c r="D12" s="343"/>
      <c r="E12" s="343"/>
      <c r="F12" s="343"/>
      <c r="G12" s="343"/>
      <c r="H12" s="343"/>
      <c r="I12" s="343"/>
      <c r="J12" s="343"/>
      <c r="K12" s="343"/>
    </row>
    <row r="13" spans="2:11">
      <c r="B13" s="343"/>
      <c r="C13" s="343"/>
      <c r="D13" s="343"/>
      <c r="E13" s="343"/>
      <c r="F13" s="343"/>
      <c r="G13" s="343"/>
      <c r="H13" s="343"/>
      <c r="I13" s="343"/>
      <c r="J13" s="343"/>
      <c r="K13" s="343"/>
    </row>
    <row r="14" spans="2:11">
      <c r="B14" s="343"/>
      <c r="C14" s="343"/>
      <c r="D14" s="343"/>
      <c r="E14" s="343"/>
      <c r="F14" s="343"/>
      <c r="G14" s="343"/>
      <c r="H14" s="343"/>
      <c r="I14" s="343"/>
      <c r="J14" s="343"/>
      <c r="K14" s="343"/>
    </row>
    <row r="15" spans="2:11" ht="15.75" customHeight="1">
      <c r="B15" s="343"/>
      <c r="C15" s="343"/>
      <c r="D15" s="343"/>
      <c r="E15" s="343"/>
      <c r="F15" s="343"/>
      <c r="G15" s="343"/>
      <c r="H15" s="343"/>
      <c r="I15" s="343"/>
      <c r="J15" s="343"/>
      <c r="K15" s="343"/>
    </row>
    <row r="16" spans="2:11">
      <c r="B16" s="335"/>
      <c r="C16" s="335"/>
      <c r="D16" s="335"/>
      <c r="E16" s="335"/>
      <c r="F16" s="335"/>
      <c r="G16" s="335"/>
      <c r="H16" s="335"/>
      <c r="I16" s="335"/>
      <c r="J16" s="335"/>
      <c r="K16" s="335"/>
    </row>
    <row r="17" spans="2:11" ht="15" customHeight="1">
      <c r="B17" s="344" t="s">
        <v>298</v>
      </c>
      <c r="C17" s="343"/>
      <c r="D17" s="343"/>
      <c r="E17" s="343"/>
      <c r="F17" s="343"/>
      <c r="G17" s="343"/>
      <c r="H17" s="343"/>
      <c r="I17" s="343"/>
      <c r="J17" s="343"/>
      <c r="K17" s="343"/>
    </row>
    <row r="18" spans="2:11">
      <c r="B18" s="343"/>
      <c r="C18" s="343"/>
      <c r="D18" s="343"/>
      <c r="E18" s="343"/>
      <c r="F18" s="343"/>
      <c r="G18" s="343"/>
      <c r="H18" s="343"/>
      <c r="I18" s="343"/>
      <c r="J18" s="343"/>
      <c r="K18" s="343"/>
    </row>
    <row r="19" spans="2:11">
      <c r="B19" s="343"/>
      <c r="C19" s="343"/>
      <c r="D19" s="343"/>
      <c r="E19" s="343"/>
      <c r="F19" s="343"/>
      <c r="G19" s="343"/>
      <c r="H19" s="343"/>
      <c r="I19" s="343"/>
      <c r="J19" s="343"/>
      <c r="K19" s="343"/>
    </row>
    <row r="20" spans="2:11">
      <c r="B20" s="343"/>
      <c r="C20" s="343"/>
      <c r="D20" s="343"/>
      <c r="E20" s="343"/>
      <c r="F20" s="343"/>
      <c r="G20" s="343"/>
      <c r="H20" s="343"/>
      <c r="I20" s="343"/>
      <c r="J20" s="343"/>
      <c r="K20" s="343"/>
    </row>
  </sheetData>
  <sheetProtection algorithmName="SHA-512" hashValue="IDYp4YZ8bD3QbICm7Vk6gffGmBxNseuEhjfWHYvL2Q+LhEhtEKPWPYLqIcJ5IKy0WpaK/hQYk65RPVatbEWcFA==" saltValue="X2ggDfqX0Bw4wLbQJozZuA==" spinCount="100000" sheet="1" selectLockedCells="1" selectUnlockedCells="1"/>
  <mergeCells count="2">
    <mergeCell ref="B4:K15"/>
    <mergeCell ref="B17:K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H43"/>
  <sheetViews>
    <sheetView showGridLines="0" workbookViewId="0">
      <pane ySplit="12" topLeftCell="A13" activePane="bottomLeft" state="frozen"/>
      <selection activeCell="B23" sqref="B23"/>
      <selection pane="bottomLeft" activeCell="E17" sqref="E17"/>
    </sheetView>
  </sheetViews>
  <sheetFormatPr defaultColWidth="9.08984375" defaultRowHeight="14.5"/>
  <cols>
    <col min="1" max="1" width="2.6328125" customWidth="1"/>
    <col min="2" max="2" width="51.6328125" customWidth="1"/>
    <col min="3" max="3" width="22" customWidth="1"/>
    <col min="4" max="4" width="2.6328125" customWidth="1"/>
    <col min="5" max="5" width="25.08984375" customWidth="1"/>
    <col min="6" max="6" width="9.36328125" customWidth="1"/>
    <col min="7" max="7" width="31.08984375" customWidth="1"/>
    <col min="8" max="8" width="2.6328125" customWidth="1"/>
  </cols>
  <sheetData>
    <row r="1" spans="1:8">
      <c r="A1" s="156"/>
      <c r="B1" s="87" t="s">
        <v>35</v>
      </c>
      <c r="C1" s="87"/>
      <c r="D1" s="87"/>
      <c r="E1" s="88"/>
      <c r="F1" s="87"/>
      <c r="G1" s="87"/>
      <c r="H1" s="157"/>
    </row>
    <row r="2" spans="1:8" ht="6" customHeight="1">
      <c r="A2" s="154"/>
      <c r="B2" s="154"/>
      <c r="C2" s="154"/>
      <c r="D2" s="154"/>
      <c r="E2" s="154"/>
      <c r="F2" s="154"/>
      <c r="G2" s="154"/>
      <c r="H2" s="157"/>
    </row>
    <row r="3" spans="1:8">
      <c r="A3" s="64"/>
      <c r="B3" s="64" t="s">
        <v>175</v>
      </c>
      <c r="C3" s="160">
        <f>IF(OR(('Portion résidentielle'!I110+'Portion non résidentielle'!G79)=0, ISERR(('Portion résidentielle'!I110+'Portion non résidentielle'!G79))), 0, ('Portion résidentielle'!I101+'Portion non résidentielle'!G71)/('Portion résidentielle'!I110+'Portion non résidentielle'!G79))</f>
        <v>0</v>
      </c>
      <c r="D3" s="64"/>
      <c r="E3" s="155" t="s">
        <v>39</v>
      </c>
      <c r="F3" s="86" t="str">
        <f>'Portion résidentielle'!G59</f>
        <v>Oui</v>
      </c>
      <c r="G3" s="64"/>
      <c r="H3" s="157"/>
    </row>
    <row r="4" spans="1:8">
      <c r="A4" s="64"/>
      <c r="B4" s="64" t="s">
        <v>176</v>
      </c>
      <c r="C4" s="323">
        <f>IF('Budget de l''ensemble'!E25=0, 0, ('Portion résidentielle'!I106+'Portion non résidentielle'!G75)/'Budget de l''ensemble'!E25)</f>
        <v>0</v>
      </c>
      <c r="D4" s="64"/>
      <c r="E4" s="155" t="s">
        <v>37</v>
      </c>
      <c r="F4" s="86" t="str">
        <f>'Portion résidentielle'!K52</f>
        <v>Non</v>
      </c>
      <c r="G4" s="64"/>
      <c r="H4" s="157"/>
    </row>
    <row r="5" spans="1:8">
      <c r="A5" s="64"/>
      <c r="B5" s="64" t="s">
        <v>36</v>
      </c>
      <c r="C5" s="161">
        <f>'Portion résidentielle'!I107+'Portion non résidentielle'!G75</f>
        <v>0</v>
      </c>
      <c r="D5" s="64"/>
      <c r="E5" s="155" t="s">
        <v>38</v>
      </c>
      <c r="F5" s="86" t="str">
        <f>'Portion résidentielle'!R58</f>
        <v>Non</v>
      </c>
      <c r="G5" s="64"/>
      <c r="H5" s="157"/>
    </row>
    <row r="6" spans="1:8">
      <c r="A6" s="64"/>
      <c r="B6" s="64"/>
      <c r="C6" s="64"/>
      <c r="D6" s="64"/>
      <c r="E6" s="155" t="s">
        <v>40</v>
      </c>
      <c r="F6" s="86" t="str">
        <f>'Portion résidentielle'!S58</f>
        <v>Non</v>
      </c>
      <c r="G6" s="64"/>
      <c r="H6" s="157"/>
    </row>
    <row r="7" spans="1:8">
      <c r="A7" s="64"/>
      <c r="B7" s="155" t="s">
        <v>177</v>
      </c>
      <c r="C7" s="313" t="str">
        <f>'Admissibilité et rés. sociaux'!G32</f>
        <v>Non</v>
      </c>
      <c r="D7" s="86"/>
      <c r="E7" s="155" t="s">
        <v>41</v>
      </c>
      <c r="F7" s="86" t="str">
        <f>'Portion résidentielle'!T58</f>
        <v>Non</v>
      </c>
      <c r="G7" s="64"/>
      <c r="H7" s="157"/>
    </row>
    <row r="8" spans="1:8" ht="3" customHeight="1">
      <c r="A8" s="64"/>
      <c r="B8" s="154"/>
      <c r="C8" s="154"/>
      <c r="D8" s="154"/>
      <c r="E8" s="154"/>
      <c r="F8" s="154"/>
      <c r="G8" s="64"/>
      <c r="H8" s="157"/>
    </row>
    <row r="9" spans="1:8" ht="15" customHeight="1">
      <c r="A9" s="64"/>
      <c r="B9" s="64" t="s">
        <v>42</v>
      </c>
      <c r="C9" s="294" t="str">
        <f>'Admissibilité et rés. sociaux'!H90</f>
        <v>RPC jusqu’à 90 %, portion résid.</v>
      </c>
      <c r="D9" s="64"/>
      <c r="E9" s="64"/>
      <c r="F9" s="64"/>
      <c r="G9" s="64"/>
      <c r="H9" s="157"/>
    </row>
    <row r="10" spans="1:8" ht="3" customHeight="1">
      <c r="A10" s="154"/>
      <c r="B10" s="154"/>
      <c r="C10" s="154"/>
      <c r="D10" s="154"/>
      <c r="E10" s="154"/>
      <c r="F10" s="154"/>
      <c r="G10" s="154"/>
      <c r="H10" s="157"/>
    </row>
    <row r="11" spans="1:8" ht="3" customHeight="1">
      <c r="A11" s="157"/>
      <c r="B11" s="87"/>
      <c r="C11" s="87"/>
      <c r="D11" s="87"/>
      <c r="E11" s="87"/>
      <c r="F11" s="87"/>
      <c r="G11" s="87"/>
      <c r="H11" s="157"/>
    </row>
    <row r="12" spans="1:8" ht="15" customHeight="1"/>
    <row r="13" spans="1:8">
      <c r="A13" s="137"/>
      <c r="B13" s="87" t="s">
        <v>178</v>
      </c>
      <c r="C13" s="87"/>
      <c r="D13" s="87"/>
      <c r="E13" s="88"/>
      <c r="F13" s="87"/>
      <c r="G13" s="87"/>
      <c r="H13" s="130"/>
    </row>
    <row r="14" spans="1:8">
      <c r="E14" s="39"/>
      <c r="H14" s="130"/>
    </row>
    <row r="15" spans="1:8">
      <c r="B15" s="146" t="s">
        <v>179</v>
      </c>
      <c r="C15" s="148"/>
      <c r="D15" s="148"/>
      <c r="E15" s="147" t="s">
        <v>178</v>
      </c>
      <c r="H15" s="130"/>
    </row>
    <row r="16" spans="1:8">
      <c r="B16" s="151"/>
      <c r="H16" s="130"/>
    </row>
    <row r="17" spans="2:8">
      <c r="B17" s="286" t="s">
        <v>285</v>
      </c>
      <c r="C17" s="1"/>
      <c r="D17" s="1"/>
      <c r="E17" s="341"/>
      <c r="G17" s="241"/>
      <c r="H17" s="130"/>
    </row>
    <row r="18" spans="2:8">
      <c r="B18" s="149" t="s">
        <v>43</v>
      </c>
      <c r="C18" s="1"/>
      <c r="D18" s="1"/>
      <c r="E18" s="341"/>
      <c r="G18" s="241"/>
      <c r="H18" s="130"/>
    </row>
    <row r="19" spans="2:8">
      <c r="B19" s="149" t="s">
        <v>44</v>
      </c>
      <c r="C19" s="1"/>
      <c r="D19" s="1"/>
      <c r="E19" s="341"/>
      <c r="G19" s="241"/>
      <c r="H19" s="130"/>
    </row>
    <row r="20" spans="2:8">
      <c r="B20" s="149" t="s">
        <v>173</v>
      </c>
      <c r="C20" s="1"/>
      <c r="D20" s="1"/>
      <c r="E20" s="341"/>
      <c r="G20" s="241"/>
      <c r="H20" s="130"/>
    </row>
    <row r="21" spans="2:8">
      <c r="B21" s="149" t="s">
        <v>46</v>
      </c>
      <c r="C21" s="1"/>
      <c r="D21" s="1"/>
      <c r="E21" s="341"/>
      <c r="G21" s="241"/>
      <c r="H21" s="130"/>
    </row>
    <row r="22" spans="2:8">
      <c r="B22" s="149" t="s">
        <v>47</v>
      </c>
      <c r="C22" s="1"/>
      <c r="D22" s="1"/>
      <c r="E22" s="43">
        <v>0</v>
      </c>
      <c r="G22" s="241"/>
      <c r="H22" s="130"/>
    </row>
    <row r="23" spans="2:8">
      <c r="B23" s="192" t="s">
        <v>290</v>
      </c>
      <c r="C23" s="1"/>
      <c r="D23" s="1"/>
      <c r="E23" s="43">
        <v>0</v>
      </c>
      <c r="G23" s="241"/>
      <c r="H23" s="130"/>
    </row>
    <row r="24" spans="2:8">
      <c r="B24" s="192" t="s">
        <v>48</v>
      </c>
      <c r="C24" s="1"/>
      <c r="D24" s="1"/>
      <c r="E24" s="44">
        <v>0</v>
      </c>
      <c r="G24" s="241"/>
      <c r="H24" s="130"/>
    </row>
    <row r="25" spans="2:8">
      <c r="B25" s="149" t="s">
        <v>49</v>
      </c>
      <c r="C25" s="1"/>
      <c r="D25" s="1"/>
      <c r="E25" s="191">
        <f>SUM(E17:E24)</f>
        <v>0</v>
      </c>
      <c r="G25" s="241"/>
      <c r="H25" s="130"/>
    </row>
    <row r="26" spans="2:8">
      <c r="B26" s="149"/>
      <c r="C26" s="1"/>
      <c r="D26" s="1"/>
      <c r="G26" s="241"/>
      <c r="H26" s="130"/>
    </row>
    <row r="27" spans="2:8">
      <c r="B27" s="150" t="s">
        <v>50</v>
      </c>
      <c r="C27" s="2"/>
      <c r="D27" s="2"/>
      <c r="G27" s="241"/>
      <c r="H27" s="130"/>
    </row>
    <row r="28" spans="2:8" ht="90" customHeight="1">
      <c r="B28" s="287" t="s">
        <v>180</v>
      </c>
      <c r="C28" s="1"/>
      <c r="D28" s="1"/>
      <c r="E28" s="193">
        <f>'Portion résidentielle'!I125+'Portion non résidentielle'!G92</f>
        <v>0</v>
      </c>
      <c r="G28" s="243"/>
      <c r="H28" s="130"/>
    </row>
    <row r="29" spans="2:8" ht="63" customHeight="1">
      <c r="B29" s="250" t="s">
        <v>286</v>
      </c>
      <c r="C29" s="1"/>
      <c r="D29" s="1"/>
      <c r="E29" s="233"/>
      <c r="G29" s="241"/>
      <c r="H29" s="130"/>
    </row>
    <row r="30" spans="2:8">
      <c r="B30" s="249" t="s">
        <v>51</v>
      </c>
      <c r="C30" s="1"/>
      <c r="D30" s="1"/>
      <c r="E30" s="43">
        <v>0</v>
      </c>
      <c r="G30" s="243"/>
      <c r="H30" s="130"/>
    </row>
    <row r="31" spans="2:8" ht="16">
      <c r="B31" s="249" t="s">
        <v>51</v>
      </c>
      <c r="C31" s="1"/>
      <c r="D31" s="1"/>
      <c r="E31" s="45"/>
      <c r="G31" s="243"/>
      <c r="H31" s="130"/>
    </row>
    <row r="32" spans="2:8">
      <c r="B32" s="149" t="s">
        <v>171</v>
      </c>
      <c r="C32" s="1"/>
      <c r="D32" s="1"/>
      <c r="E32" s="153">
        <f>SUM(E28:E31)</f>
        <v>0</v>
      </c>
      <c r="H32" s="130"/>
    </row>
    <row r="33" spans="1:8">
      <c r="B33" s="151"/>
      <c r="H33" s="130"/>
    </row>
    <row r="34" spans="1:8">
      <c r="B34" s="152" t="s">
        <v>52</v>
      </c>
      <c r="C34" s="39"/>
      <c r="D34" s="39"/>
      <c r="E34" s="81">
        <f>E25-E32</f>
        <v>0</v>
      </c>
      <c r="H34" s="130"/>
    </row>
    <row r="35" spans="1:8">
      <c r="B35" s="152"/>
      <c r="C35" s="39"/>
      <c r="D35" s="39"/>
      <c r="E35" s="170"/>
      <c r="H35" s="130"/>
    </row>
    <row r="36" spans="1:8">
      <c r="B36" s="152" t="s">
        <v>172</v>
      </c>
      <c r="E36" s="171">
        <f>E32+E34</f>
        <v>0</v>
      </c>
      <c r="H36" s="130"/>
    </row>
    <row r="37" spans="1:8" ht="3" customHeight="1">
      <c r="A37" s="137"/>
      <c r="B37" s="87"/>
      <c r="C37" s="87"/>
      <c r="D37" s="87"/>
      <c r="E37" s="87"/>
      <c r="F37" s="87"/>
      <c r="G37" s="87"/>
      <c r="H37" s="130"/>
    </row>
    <row r="39" spans="1:8">
      <c r="A39" s="164"/>
      <c r="B39" s="164"/>
      <c r="C39" s="164"/>
      <c r="D39" s="164"/>
      <c r="E39" s="164"/>
      <c r="F39" s="164"/>
      <c r="G39" s="164"/>
      <c r="H39" s="164"/>
    </row>
    <row r="40" spans="1:8">
      <c r="A40" s="164"/>
      <c r="B40" s="164"/>
      <c r="C40" s="164"/>
      <c r="D40" s="164"/>
      <c r="E40" s="164"/>
      <c r="F40" s="164"/>
      <c r="G40" s="164"/>
      <c r="H40" s="164"/>
    </row>
    <row r="42" spans="1:8">
      <c r="A42" s="167"/>
      <c r="B42" s="167"/>
      <c r="C42" s="167"/>
      <c r="D42" s="167"/>
      <c r="E42" s="167"/>
      <c r="F42" s="167"/>
      <c r="G42" s="167"/>
      <c r="H42" s="167"/>
    </row>
    <row r="43" spans="1:8">
      <c r="A43" s="167"/>
      <c r="B43" s="167"/>
      <c r="C43" s="167"/>
      <c r="D43" s="167"/>
      <c r="E43" s="167"/>
      <c r="F43" s="167"/>
      <c r="G43" s="167"/>
      <c r="H43" s="167"/>
    </row>
  </sheetData>
  <sheetProtection algorithmName="SHA-512" hashValue="l3sTzlH10CfwXsxgutzHl/OLQelpx+bOI728wlTM+YC0hOs1Ikz35VeqWWiqfyYXrc3dTMOFaSSiZvnfT/W8kw==" saltValue="L/vwlWkoyeZHo5pXfuMIXw==" spinCount="100000" sheet="1" selectLockedCells="1"/>
  <pageMargins left="0.70866141732283472" right="0.70866141732283472" top="0.74803149606299213" bottom="0.74803149606299213" header="0.31496062992125984" footer="0.31496062992125984"/>
  <pageSetup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gotoSheet_ResidentialNew">
                <anchor moveWithCells="1" sizeWithCells="1">
                  <from>
                    <xdr:col>4</xdr:col>
                    <xdr:colOff>1549400</xdr:colOff>
                    <xdr:row>38</xdr:row>
                    <xdr:rowOff>38100</xdr:rowOff>
                  </from>
                  <to>
                    <xdr:col>6</xdr:col>
                    <xdr:colOff>76200</xdr:colOff>
                    <xdr:row>39</xdr:row>
                    <xdr:rowOff>190500</xdr:rowOff>
                  </to>
                </anchor>
              </controlPr>
            </control>
          </mc:Choice>
        </mc:AlternateContent>
        <mc:AlternateContent xmlns:mc="http://schemas.openxmlformats.org/markup-compatibility/2006">
          <mc:Choice Requires="x14">
            <control shapeId="3076" r:id="rId5" name="Button 4">
              <controlPr defaultSize="0" print="0" autoFill="0" autoPict="0" macro="[0]!resetThisPage">
                <anchor moveWithCells="1" sizeWithCells="1">
                  <from>
                    <xdr:col>1</xdr:col>
                    <xdr:colOff>139700</xdr:colOff>
                    <xdr:row>41</xdr:row>
                    <xdr:rowOff>38100</xdr:rowOff>
                  </from>
                  <to>
                    <xdr:col>1</xdr:col>
                    <xdr:colOff>977900</xdr:colOff>
                    <xdr:row>42</xdr:row>
                    <xdr:rowOff>190500</xdr:rowOff>
                  </to>
                </anchor>
              </controlPr>
            </control>
          </mc:Choice>
        </mc:AlternateContent>
        <mc:AlternateContent xmlns:mc="http://schemas.openxmlformats.org/markup-compatibility/2006">
          <mc:Choice Requires="x14">
            <control shapeId="3077" r:id="rId6" name="Button 5">
              <controlPr defaultSize="0" print="0" autoFill="0" autoPict="0" macro="[0]!resetAll">
                <anchor moveWithCells="1" sizeWithCells="1">
                  <from>
                    <xdr:col>4</xdr:col>
                    <xdr:colOff>1549400</xdr:colOff>
                    <xdr:row>41</xdr:row>
                    <xdr:rowOff>38100</xdr:rowOff>
                  </from>
                  <to>
                    <xdr:col>6</xdr:col>
                    <xdr:colOff>76200</xdr:colOff>
                    <xdr:row>42</xdr:row>
                    <xdr:rowOff>177800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147"/>
  <sheetViews>
    <sheetView showGridLines="0" zoomScaleNormal="100" workbookViewId="0">
      <pane ySplit="12" topLeftCell="A13" activePane="bottomLeft" state="frozen"/>
      <selection activeCell="B23" sqref="B23"/>
      <selection pane="bottomLeft" activeCell="D15" sqref="D15"/>
    </sheetView>
  </sheetViews>
  <sheetFormatPr defaultColWidth="8.81640625" defaultRowHeight="14.5"/>
  <cols>
    <col min="1" max="1" width="2.6328125" style="1" customWidth="1"/>
    <col min="2" max="2" width="36.36328125" style="1" customWidth="1"/>
    <col min="3" max="3" width="12.453125" style="1" customWidth="1"/>
    <col min="4" max="4" width="12" style="1" customWidth="1"/>
    <col min="5" max="5" width="13.54296875" style="1" customWidth="1"/>
    <col min="6" max="6" width="17.36328125" style="1" customWidth="1"/>
    <col min="7" max="8" width="13.453125" style="1" customWidth="1"/>
    <col min="9" max="9" width="16.453125" customWidth="1"/>
    <col min="10" max="10" width="3.54296875" style="1" customWidth="1"/>
    <col min="11" max="11" width="18" customWidth="1"/>
    <col min="12" max="12" width="14.36328125" style="1" customWidth="1"/>
    <col min="13" max="13" width="13.54296875" style="1" customWidth="1"/>
    <col min="14" max="14" width="12.6328125" style="1" customWidth="1"/>
    <col min="15" max="15" width="2.6328125" style="1" customWidth="1"/>
    <col min="16" max="16" width="2.6328125" style="42" customWidth="1"/>
    <col min="17" max="17" width="8.81640625" style="1" customWidth="1"/>
    <col min="18" max="18" width="12.453125" style="1" customWidth="1"/>
    <col min="19" max="19" width="10.08984375" style="1" customWidth="1"/>
    <col min="20" max="20" width="10.453125" style="1" customWidth="1"/>
    <col min="21" max="16384" width="8.81640625" style="1"/>
  </cols>
  <sheetData>
    <row r="1" spans="1:20" customFormat="1">
      <c r="A1" s="156"/>
      <c r="B1" s="87" t="s">
        <v>35</v>
      </c>
      <c r="C1" s="87"/>
      <c r="D1" s="87"/>
      <c r="E1" s="88"/>
      <c r="F1" s="87"/>
      <c r="G1" s="87"/>
      <c r="H1" s="87"/>
      <c r="I1" s="87"/>
      <c r="J1" s="87"/>
      <c r="K1" s="87"/>
      <c r="L1" s="87"/>
      <c r="M1" s="87"/>
      <c r="N1" s="87"/>
      <c r="O1" s="157"/>
    </row>
    <row r="2" spans="1:20" customFormat="1" ht="6" customHeight="1">
      <c r="A2" s="154"/>
      <c r="B2" s="154"/>
      <c r="C2" s="154"/>
      <c r="D2" s="154"/>
      <c r="E2" s="154"/>
      <c r="F2" s="154"/>
      <c r="G2" s="154"/>
      <c r="H2" s="159"/>
      <c r="I2" s="154"/>
      <c r="J2" s="154"/>
      <c r="K2" s="154"/>
      <c r="L2" s="154"/>
      <c r="M2" s="154"/>
      <c r="N2" s="154"/>
      <c r="O2" s="157"/>
    </row>
    <row r="3" spans="1:20" customFormat="1">
      <c r="A3" s="64"/>
      <c r="B3" s="64" t="s">
        <v>175</v>
      </c>
      <c r="C3" s="160">
        <f>IF(OR(('Portion résidentielle'!I111+'Portion non résidentielle'!G79)=0, ISERR(('Portion résidentielle'!I111+'Portion non résidentielle'!G79))), 0, ('Portion résidentielle'!I102+'Portion non résidentielle'!G71)/('Portion résidentielle'!I111+'Portion non résidentielle'!G79))</f>
        <v>0</v>
      </c>
      <c r="D3" s="64"/>
      <c r="E3" s="155" t="s">
        <v>39</v>
      </c>
      <c r="F3" s="155"/>
      <c r="G3" s="86" t="str">
        <f>G59</f>
        <v>Oui</v>
      </c>
      <c r="H3" s="42"/>
      <c r="I3" s="64"/>
      <c r="J3" s="64"/>
      <c r="K3" s="64"/>
      <c r="L3" s="64"/>
      <c r="M3" s="64"/>
      <c r="N3" s="64"/>
      <c r="O3" s="157"/>
    </row>
    <row r="4" spans="1:20" customFormat="1">
      <c r="A4" s="64"/>
      <c r="B4" s="64" t="s">
        <v>176</v>
      </c>
      <c r="C4" s="334">
        <f>IF('Budget de l''ensemble'!E25=0, 0, ('Portion résidentielle'!I107+'Portion non résidentielle'!G75)/'Budget de l''ensemble'!E25)</f>
        <v>0</v>
      </c>
      <c r="D4" s="64"/>
      <c r="E4" s="155" t="s">
        <v>37</v>
      </c>
      <c r="F4" s="155"/>
      <c r="G4" s="327" t="str">
        <f>'Portion résidentielle'!K52</f>
        <v>Non</v>
      </c>
      <c r="H4" s="42"/>
      <c r="I4" s="64"/>
      <c r="J4" s="64"/>
      <c r="K4" s="64"/>
      <c r="L4" s="64"/>
      <c r="M4" s="64"/>
      <c r="N4" s="64"/>
      <c r="O4" s="157"/>
    </row>
    <row r="5" spans="1:20" customFormat="1">
      <c r="A5" s="64"/>
      <c r="B5" s="64" t="s">
        <v>36</v>
      </c>
      <c r="C5" s="161">
        <f>'Portion résidentielle'!I107+'Portion non résidentielle'!G75</f>
        <v>0</v>
      </c>
      <c r="D5" s="64"/>
      <c r="E5" s="155" t="s">
        <v>38</v>
      </c>
      <c r="F5" s="155"/>
      <c r="G5" s="328" t="str">
        <f>'Portion résidentielle'!R58</f>
        <v>Non</v>
      </c>
      <c r="H5" s="42"/>
      <c r="I5" s="64"/>
      <c r="J5" s="64"/>
      <c r="K5" s="64"/>
      <c r="L5" s="64"/>
      <c r="M5" s="64"/>
      <c r="N5" s="64"/>
      <c r="O5" s="157"/>
    </row>
    <row r="6" spans="1:20" customFormat="1">
      <c r="A6" s="64"/>
      <c r="B6" s="64"/>
      <c r="C6" s="64"/>
      <c r="D6" s="64"/>
      <c r="E6" s="155" t="s">
        <v>40</v>
      </c>
      <c r="F6" s="155"/>
      <c r="G6" s="328" t="str">
        <f>'Portion résidentielle'!S58</f>
        <v>Non</v>
      </c>
      <c r="H6" s="42"/>
      <c r="I6" s="64"/>
      <c r="J6" s="64"/>
      <c r="K6" s="64"/>
      <c r="L6" s="64"/>
      <c r="M6" s="64"/>
      <c r="N6" s="64"/>
      <c r="O6" s="157"/>
    </row>
    <row r="7" spans="1:20" customFormat="1">
      <c r="A7" s="64"/>
      <c r="B7" s="155" t="s">
        <v>177</v>
      </c>
      <c r="C7" s="86" t="str">
        <f>'Admissibilité et rés. sociaux'!G32</f>
        <v>Non</v>
      </c>
      <c r="D7" s="86"/>
      <c r="E7" s="155" t="s">
        <v>41</v>
      </c>
      <c r="F7" s="155"/>
      <c r="G7" s="328" t="str">
        <f>'Portion résidentielle'!T58</f>
        <v>Non</v>
      </c>
      <c r="H7" s="42"/>
      <c r="I7" s="64"/>
      <c r="J7" s="64"/>
      <c r="K7" s="64"/>
      <c r="L7" s="64"/>
      <c r="M7" s="64"/>
      <c r="N7" s="64"/>
      <c r="O7" s="157"/>
    </row>
    <row r="8" spans="1:20" customFormat="1" ht="3" customHeight="1">
      <c r="A8" s="64"/>
      <c r="B8" s="154"/>
      <c r="C8" s="154"/>
      <c r="D8" s="154"/>
      <c r="E8" s="154"/>
      <c r="F8" s="154"/>
      <c r="G8" s="154"/>
      <c r="H8" s="42"/>
      <c r="I8" s="64"/>
      <c r="J8" s="64"/>
      <c r="K8" s="64"/>
      <c r="L8" s="64"/>
      <c r="M8" s="64"/>
      <c r="N8" s="64"/>
      <c r="O8" s="157"/>
    </row>
    <row r="9" spans="1:20" customFormat="1" ht="15" customHeight="1">
      <c r="A9" s="64"/>
      <c r="B9" s="64" t="s">
        <v>42</v>
      </c>
      <c r="C9" s="64" t="str">
        <f>'Admissibilité et rés. sociaux'!H90</f>
        <v>RPC jusqu’à 90 %, portion résid.</v>
      </c>
      <c r="D9" s="64"/>
      <c r="E9" s="42"/>
      <c r="F9" s="42"/>
      <c r="G9" s="42"/>
      <c r="H9" s="42"/>
      <c r="I9" s="64"/>
      <c r="J9" s="64"/>
      <c r="K9" s="64"/>
      <c r="L9" s="64"/>
      <c r="M9" s="64"/>
      <c r="N9" s="64"/>
      <c r="O9" s="157"/>
    </row>
    <row r="10" spans="1:20" customFormat="1" ht="3" customHeight="1">
      <c r="A10" s="154"/>
      <c r="B10" s="154"/>
      <c r="C10" s="154"/>
      <c r="D10" s="154"/>
      <c r="E10" s="154"/>
      <c r="F10" s="154"/>
      <c r="G10" s="154"/>
      <c r="H10" s="159"/>
      <c r="I10" s="154"/>
      <c r="J10" s="154"/>
      <c r="K10" s="154"/>
      <c r="L10" s="154"/>
      <c r="M10" s="154"/>
      <c r="N10" s="154"/>
      <c r="O10" s="157"/>
    </row>
    <row r="11" spans="1:20" customFormat="1" ht="3" customHeight="1">
      <c r="A11" s="157"/>
      <c r="B11" s="87"/>
      <c r="C11" s="87"/>
      <c r="D11" s="87"/>
      <c r="E11" s="87"/>
      <c r="F11" s="87"/>
      <c r="G11" s="87"/>
      <c r="H11" s="87"/>
      <c r="I11" s="87"/>
      <c r="J11" s="87"/>
      <c r="K11" s="87"/>
      <c r="L11" s="87"/>
      <c r="M11" s="87"/>
      <c r="N11" s="87"/>
      <c r="O11" s="157"/>
    </row>
    <row r="12" spans="1:20" customFormat="1" ht="15" customHeight="1"/>
    <row r="13" spans="1:20" ht="15.5">
      <c r="A13" s="138"/>
      <c r="B13" s="236" t="s">
        <v>174</v>
      </c>
      <c r="C13" s="128"/>
      <c r="D13" s="128"/>
      <c r="E13" s="128"/>
      <c r="F13" s="128"/>
      <c r="G13" s="128"/>
      <c r="H13" s="128"/>
      <c r="I13" s="128"/>
      <c r="J13" s="128"/>
      <c r="K13" s="128"/>
      <c r="L13" s="128"/>
      <c r="M13" s="128"/>
      <c r="N13" s="128"/>
      <c r="O13" s="131"/>
      <c r="P13" s="104"/>
      <c r="Q13" s="273"/>
      <c r="R13" s="273"/>
      <c r="S13" s="273"/>
      <c r="T13" s="273"/>
    </row>
    <row r="14" spans="1:20" ht="6" customHeight="1">
      <c r="A14" s="273"/>
      <c r="B14" s="35"/>
      <c r="C14" s="105"/>
      <c r="D14" s="35"/>
      <c r="E14" s="35"/>
      <c r="F14" s="35"/>
      <c r="G14" s="35"/>
      <c r="H14" s="35"/>
      <c r="I14" s="35"/>
      <c r="J14" s="35"/>
      <c r="K14" s="65"/>
      <c r="L14" s="35"/>
      <c r="M14" s="35"/>
      <c r="N14" s="35"/>
      <c r="O14" s="131"/>
      <c r="P14" s="104"/>
      <c r="Q14" s="273"/>
      <c r="R14" s="273"/>
      <c r="S14" s="273"/>
      <c r="T14" s="273"/>
    </row>
    <row r="15" spans="1:20" s="31" customFormat="1">
      <c r="B15" s="106" t="s">
        <v>206</v>
      </c>
      <c r="C15" s="106"/>
      <c r="D15" s="217"/>
      <c r="E15" s="106"/>
      <c r="F15" s="106"/>
      <c r="G15" s="106"/>
      <c r="H15" s="106"/>
      <c r="I15" s="106"/>
      <c r="J15" s="106"/>
      <c r="K15" s="106"/>
      <c r="L15" s="106"/>
      <c r="M15" s="106"/>
      <c r="N15" s="106"/>
      <c r="O15" s="131"/>
      <c r="P15" s="104"/>
    </row>
    <row r="16" spans="1:20" s="31" customFormat="1">
      <c r="B16" s="35"/>
      <c r="C16" s="106"/>
      <c r="D16" s="106"/>
      <c r="E16" s="106"/>
      <c r="F16" s="106"/>
      <c r="G16" s="106"/>
      <c r="H16" s="106"/>
      <c r="I16" s="106"/>
      <c r="J16" s="106"/>
      <c r="K16" s="106"/>
      <c r="L16" s="106"/>
      <c r="M16" s="106"/>
      <c r="N16" s="106"/>
      <c r="O16" s="131"/>
      <c r="P16" s="104"/>
    </row>
    <row r="17" spans="1:20">
      <c r="A17" s="273"/>
      <c r="B17" s="35"/>
      <c r="C17" s="35"/>
      <c r="D17" s="35"/>
      <c r="E17" s="35"/>
      <c r="F17" s="194"/>
      <c r="G17" s="194"/>
      <c r="H17" s="48"/>
      <c r="I17" s="51"/>
      <c r="J17" s="106"/>
      <c r="K17" s="35"/>
      <c r="L17" s="35"/>
      <c r="M17" s="35"/>
      <c r="N17" s="35"/>
      <c r="O17" s="131"/>
      <c r="P17" s="104"/>
      <c r="Q17" s="273"/>
      <c r="R17" s="273"/>
      <c r="S17" s="273"/>
      <c r="T17" s="273"/>
    </row>
    <row r="18" spans="1:20" ht="16">
      <c r="A18" s="273"/>
      <c r="B18" s="133" t="s">
        <v>179</v>
      </c>
      <c r="C18" s="35"/>
      <c r="D18" s="35"/>
      <c r="E18" s="35"/>
      <c r="F18" s="195" t="s">
        <v>218</v>
      </c>
      <c r="G18" s="195" t="s">
        <v>272</v>
      </c>
      <c r="H18" s="48"/>
      <c r="I18" s="47"/>
      <c r="J18" s="106"/>
      <c r="K18" s="107"/>
      <c r="L18" s="35"/>
      <c r="M18" s="35"/>
      <c r="N18" s="35"/>
      <c r="O18" s="131"/>
      <c r="P18" s="104"/>
      <c r="Q18" s="273"/>
      <c r="R18" s="273"/>
      <c r="S18" s="273"/>
      <c r="T18" s="273"/>
    </row>
    <row r="19" spans="1:20">
      <c r="A19" s="273"/>
      <c r="B19" s="251" t="s">
        <v>106</v>
      </c>
      <c r="C19" s="35"/>
      <c r="D19" s="35"/>
      <c r="E19" s="35"/>
      <c r="F19" s="196" t="str">
        <f>IF($D$58=0, "", G19/$D$58)</f>
        <v/>
      </c>
      <c r="G19" s="196">
        <f>D$15*'Budget de l''ensemble'!E17</f>
        <v>0</v>
      </c>
      <c r="H19" s="39"/>
      <c r="I19" s="39"/>
      <c r="J19" s="106"/>
      <c r="K19" s="65"/>
      <c r="L19" s="35"/>
      <c r="M19" s="35"/>
      <c r="N19" s="35"/>
      <c r="O19" s="131"/>
      <c r="P19" s="104"/>
      <c r="Q19" s="273"/>
      <c r="R19" s="273"/>
      <c r="S19" s="273"/>
      <c r="T19" s="273"/>
    </row>
    <row r="20" spans="1:20">
      <c r="A20" s="273"/>
      <c r="B20" s="35" t="s">
        <v>43</v>
      </c>
      <c r="C20" s="35"/>
      <c r="D20" s="35"/>
      <c r="E20" s="35"/>
      <c r="F20" s="196" t="str">
        <f t="shared" ref="F20:F27" si="0">IF($D$58=0, "", G20/$D$58)</f>
        <v/>
      </c>
      <c r="G20" s="196">
        <f>D$15*'Budget de l''ensemble'!E18</f>
        <v>0</v>
      </c>
      <c r="H20" s="39"/>
      <c r="I20" s="39"/>
      <c r="J20" s="35"/>
      <c r="K20" s="65"/>
      <c r="L20" s="35"/>
      <c r="M20" s="35"/>
      <c r="N20" s="35"/>
      <c r="O20" s="131"/>
      <c r="P20" s="104"/>
      <c r="Q20" s="273"/>
      <c r="R20" s="273"/>
      <c r="S20" s="273"/>
      <c r="T20" s="273"/>
    </row>
    <row r="21" spans="1:20">
      <c r="A21" s="273"/>
      <c r="B21" s="35" t="s">
        <v>44</v>
      </c>
      <c r="C21" s="35"/>
      <c r="D21" s="35"/>
      <c r="E21" s="35"/>
      <c r="F21" s="196" t="str">
        <f t="shared" si="0"/>
        <v/>
      </c>
      <c r="G21" s="196">
        <f>D$15*'Budget de l''ensemble'!E19</f>
        <v>0</v>
      </c>
      <c r="H21" s="39"/>
      <c r="I21" s="39"/>
      <c r="J21" s="35"/>
      <c r="K21" s="65"/>
      <c r="L21" s="35"/>
      <c r="M21" s="35"/>
      <c r="N21" s="35"/>
      <c r="O21" s="131"/>
      <c r="P21" s="104"/>
      <c r="Q21" s="273"/>
      <c r="R21" s="273"/>
      <c r="S21" s="273"/>
      <c r="T21" s="273"/>
    </row>
    <row r="22" spans="1:20">
      <c r="A22" s="273"/>
      <c r="B22" s="35" t="s">
        <v>173</v>
      </c>
      <c r="C22" s="35"/>
      <c r="D22" s="35"/>
      <c r="E22" s="35"/>
      <c r="F22" s="196" t="str">
        <f t="shared" si="0"/>
        <v/>
      </c>
      <c r="G22" s="196">
        <f>D$15*'Budget de l''ensemble'!E20</f>
        <v>0</v>
      </c>
      <c r="H22" s="39"/>
      <c r="I22" s="39"/>
      <c r="J22" s="35"/>
      <c r="K22" s="65"/>
      <c r="L22" s="35"/>
      <c r="M22" s="35"/>
      <c r="N22" s="35"/>
      <c r="O22" s="131"/>
      <c r="P22" s="104"/>
      <c r="Q22" s="273"/>
      <c r="R22" s="273"/>
      <c r="S22" s="273"/>
      <c r="T22" s="273"/>
    </row>
    <row r="23" spans="1:20">
      <c r="A23" s="273"/>
      <c r="B23" s="35" t="s">
        <v>53</v>
      </c>
      <c r="C23" s="35"/>
      <c r="D23" s="35"/>
      <c r="E23" s="35"/>
      <c r="F23" s="196" t="str">
        <f t="shared" si="0"/>
        <v/>
      </c>
      <c r="G23" s="196">
        <f>D$15*'Budget de l''ensemble'!E21</f>
        <v>0</v>
      </c>
      <c r="H23" s="39"/>
      <c r="I23" s="39"/>
      <c r="J23" s="35"/>
      <c r="K23" s="65"/>
      <c r="L23" s="35"/>
      <c r="M23" s="35"/>
      <c r="N23" s="35"/>
      <c r="O23" s="131"/>
      <c r="P23" s="104"/>
      <c r="Q23" s="273"/>
      <c r="R23" s="273"/>
      <c r="S23" s="273"/>
      <c r="T23" s="273"/>
    </row>
    <row r="24" spans="1:20">
      <c r="A24" s="273"/>
      <c r="B24" s="238" t="s">
        <v>47</v>
      </c>
      <c r="C24" s="35"/>
      <c r="D24" s="35"/>
      <c r="E24" s="35"/>
      <c r="F24" s="196" t="str">
        <f t="shared" si="0"/>
        <v/>
      </c>
      <c r="G24" s="196">
        <f>D$15*'Budget de l''ensemble'!E22</f>
        <v>0</v>
      </c>
      <c r="H24" s="39"/>
      <c r="I24" s="39"/>
      <c r="J24" s="35"/>
      <c r="K24" s="65"/>
      <c r="L24" s="35"/>
      <c r="M24" s="35"/>
      <c r="N24" s="35"/>
      <c r="O24" s="131"/>
      <c r="P24" s="104"/>
      <c r="Q24" s="273"/>
      <c r="R24" s="273"/>
      <c r="S24" s="273"/>
      <c r="T24" s="273"/>
    </row>
    <row r="25" spans="1:20">
      <c r="A25" s="273"/>
      <c r="B25" s="238" t="s">
        <v>48</v>
      </c>
      <c r="C25" s="35"/>
      <c r="D25" s="35"/>
      <c r="E25" s="35"/>
      <c r="F25" s="196" t="str">
        <f t="shared" si="0"/>
        <v/>
      </c>
      <c r="G25" s="196">
        <f>D$15*'Budget de l''ensemble'!E23</f>
        <v>0</v>
      </c>
      <c r="H25" s="39"/>
      <c r="I25" s="39"/>
      <c r="J25" s="35"/>
      <c r="K25" s="65"/>
      <c r="L25" s="35"/>
      <c r="M25" s="35"/>
      <c r="N25" s="35"/>
      <c r="O25" s="131"/>
      <c r="P25" s="104"/>
      <c r="Q25" s="273"/>
      <c r="R25" s="273"/>
      <c r="S25" s="273"/>
      <c r="T25" s="273"/>
    </row>
    <row r="26" spans="1:20" ht="16">
      <c r="A26" s="273"/>
      <c r="B26" s="238" t="s">
        <v>48</v>
      </c>
      <c r="C26" s="35"/>
      <c r="D26" s="35"/>
      <c r="E26" s="35"/>
      <c r="F26" s="196" t="str">
        <f t="shared" si="0"/>
        <v/>
      </c>
      <c r="G26" s="196">
        <f>D$15*'Budget de l''ensemble'!E24</f>
        <v>0</v>
      </c>
      <c r="H26" s="51"/>
      <c r="I26" s="51"/>
      <c r="J26" s="107"/>
      <c r="K26" s="107"/>
      <c r="L26" s="35"/>
      <c r="M26" s="35"/>
      <c r="N26" s="35"/>
      <c r="O26" s="131"/>
      <c r="P26" s="104"/>
      <c r="Q26" s="273"/>
      <c r="R26" s="273"/>
      <c r="S26" s="273"/>
      <c r="T26" s="273"/>
    </row>
    <row r="27" spans="1:20">
      <c r="A27" s="273"/>
      <c r="B27" s="35" t="s">
        <v>49</v>
      </c>
      <c r="C27" s="35"/>
      <c r="D27" s="35"/>
      <c r="E27" s="35"/>
      <c r="F27" s="196" t="str">
        <f t="shared" si="0"/>
        <v/>
      </c>
      <c r="G27" s="196">
        <f>SUM(G19:G26)</f>
        <v>0</v>
      </c>
      <c r="H27" s="47"/>
      <c r="I27" s="39"/>
      <c r="J27" s="35"/>
      <c r="K27" s="108"/>
      <c r="L27" s="35"/>
      <c r="M27" s="35"/>
      <c r="N27" s="35"/>
      <c r="O27" s="131"/>
      <c r="P27" s="104"/>
      <c r="Q27" s="273"/>
      <c r="R27" s="273"/>
      <c r="S27" s="273"/>
      <c r="T27" s="273"/>
    </row>
    <row r="28" spans="1:20">
      <c r="A28" s="273"/>
      <c r="B28" s="35"/>
      <c r="C28" s="35"/>
      <c r="D28" s="35"/>
      <c r="E28" s="35"/>
      <c r="F28" s="35"/>
      <c r="G28" s="35"/>
      <c r="H28" s="35"/>
      <c r="I28" s="35"/>
      <c r="J28" s="35"/>
      <c r="K28" s="65"/>
      <c r="L28" s="35"/>
      <c r="M28" s="35"/>
      <c r="N28" s="35"/>
      <c r="O28" s="131"/>
      <c r="P28" s="104"/>
      <c r="Q28" s="273"/>
      <c r="R28" s="273"/>
      <c r="S28" s="273"/>
      <c r="T28" s="273"/>
    </row>
    <row r="29" spans="1:20">
      <c r="A29" s="273"/>
      <c r="B29" s="134" t="s">
        <v>54</v>
      </c>
      <c r="C29" s="35"/>
      <c r="D29" s="35"/>
      <c r="E29" s="35"/>
      <c r="F29" s="35"/>
      <c r="G29" s="35"/>
      <c r="H29" s="35"/>
      <c r="I29" s="35"/>
      <c r="J29" s="35"/>
      <c r="K29" s="65"/>
      <c r="L29" s="35"/>
      <c r="M29" s="35"/>
      <c r="N29" s="35"/>
      <c r="O29" s="131"/>
      <c r="P29" s="104"/>
      <c r="Q29" s="273"/>
      <c r="R29" s="273"/>
      <c r="S29" s="273"/>
      <c r="T29" s="273"/>
    </row>
    <row r="30" spans="1:20">
      <c r="A30" s="273"/>
      <c r="B30" s="251" t="s">
        <v>55</v>
      </c>
      <c r="C30" s="241"/>
      <c r="D30" s="35"/>
      <c r="E30" s="35"/>
      <c r="F30" s="196" t="str">
        <f>IF($D$58=0, "", G30/$D$58)</f>
        <v/>
      </c>
      <c r="G30" s="253">
        <f>I125</f>
        <v>0</v>
      </c>
      <c r="H30" s="242"/>
      <c r="I30" s="35"/>
      <c r="J30" s="35"/>
      <c r="K30" s="65"/>
      <c r="L30" s="35"/>
      <c r="M30" s="35"/>
      <c r="N30" s="35"/>
      <c r="O30" s="131"/>
      <c r="P30" s="104"/>
      <c r="Q30" s="273"/>
      <c r="R30" s="273"/>
      <c r="S30" s="273"/>
      <c r="T30" s="273"/>
    </row>
    <row r="31" spans="1:20">
      <c r="A31" s="273"/>
      <c r="B31" s="251" t="s">
        <v>57</v>
      </c>
      <c r="C31" s="235"/>
      <c r="D31" s="35"/>
      <c r="E31" s="35"/>
      <c r="F31" s="196"/>
      <c r="G31" s="196">
        <f>D$15*'Budget de l''ensemble'!E29</f>
        <v>0</v>
      </c>
      <c r="H31" s="39"/>
      <c r="I31" s="35"/>
      <c r="J31" s="35"/>
      <c r="K31" s="65"/>
      <c r="L31" s="35"/>
      <c r="M31" s="35"/>
      <c r="N31" s="35"/>
      <c r="O31" s="131"/>
      <c r="P31" s="104"/>
      <c r="Q31" s="273"/>
      <c r="R31" s="273"/>
      <c r="S31" s="273"/>
      <c r="T31" s="273"/>
    </row>
    <row r="32" spans="1:20">
      <c r="A32" s="273"/>
      <c r="B32" s="252" t="s">
        <v>51</v>
      </c>
      <c r="C32" s="242"/>
      <c r="D32" s="39"/>
      <c r="E32" s="35"/>
      <c r="F32" s="196" t="str">
        <f>IF($D$58=0, "", G32/$D$58)</f>
        <v/>
      </c>
      <c r="G32" s="196">
        <f>D$15*'Budget de l''ensemble'!E30</f>
        <v>0</v>
      </c>
      <c r="H32" s="39"/>
      <c r="I32" s="35"/>
      <c r="J32" s="35"/>
      <c r="K32" s="65"/>
      <c r="L32" s="35"/>
      <c r="M32" s="35"/>
      <c r="N32" s="35"/>
      <c r="O32" s="131"/>
      <c r="P32" s="104"/>
      <c r="Q32" s="273"/>
      <c r="R32" s="273"/>
      <c r="S32" s="273"/>
      <c r="T32" s="273"/>
    </row>
    <row r="33" spans="1:20" ht="16">
      <c r="A33" s="273"/>
      <c r="B33" s="252" t="s">
        <v>51</v>
      </c>
      <c r="C33" s="242"/>
      <c r="D33" s="39"/>
      <c r="E33" s="35"/>
      <c r="F33" s="197" t="str">
        <f>IF($D$58=0, "", G33/$D$58)</f>
        <v/>
      </c>
      <c r="G33" s="198">
        <f>D$15*'Budget de l''ensemble'!E31</f>
        <v>0</v>
      </c>
      <c r="H33" s="110"/>
      <c r="I33" s="35"/>
      <c r="J33" s="107"/>
      <c r="K33" s="65"/>
      <c r="L33" s="35"/>
      <c r="M33" s="35"/>
      <c r="N33" s="35"/>
      <c r="O33" s="131"/>
      <c r="P33" s="104"/>
      <c r="Q33" s="273"/>
      <c r="R33" s="273"/>
      <c r="S33" s="273"/>
      <c r="T33" s="273"/>
    </row>
    <row r="34" spans="1:20">
      <c r="A34" s="273"/>
      <c r="B34" s="35" t="s">
        <v>171</v>
      </c>
      <c r="C34" s="111"/>
      <c r="D34" s="111"/>
      <c r="E34" s="35"/>
      <c r="F34" s="196" t="str">
        <f>IF($D$58=0, "", I34/$D$58)</f>
        <v/>
      </c>
      <c r="G34" s="196">
        <f>SUM(G30:G33)</f>
        <v>0</v>
      </c>
      <c r="H34" s="35"/>
      <c r="I34" s="35"/>
      <c r="J34" s="35"/>
      <c r="K34" s="65"/>
      <c r="L34" s="35"/>
      <c r="M34" s="35"/>
      <c r="N34" s="35"/>
      <c r="O34" s="131"/>
      <c r="P34" s="104"/>
      <c r="Q34" s="273"/>
      <c r="R34" s="273"/>
      <c r="S34" s="273"/>
      <c r="T34" s="273"/>
    </row>
    <row r="35" spans="1:20">
      <c r="A35" s="273"/>
      <c r="B35" s="35"/>
      <c r="C35" s="111"/>
      <c r="D35" s="111"/>
      <c r="E35" s="35"/>
      <c r="F35" s="238"/>
      <c r="G35" s="238"/>
      <c r="H35" s="35"/>
      <c r="I35" s="35"/>
      <c r="J35" s="35"/>
      <c r="K35" s="65"/>
      <c r="L35" s="35"/>
      <c r="M35" s="35"/>
      <c r="N35" s="35"/>
      <c r="O35" s="131"/>
      <c r="P35" s="104"/>
      <c r="Q35" s="273"/>
      <c r="R35" s="273"/>
      <c r="S35" s="273"/>
      <c r="T35" s="273"/>
    </row>
    <row r="36" spans="1:20" s="33" customFormat="1">
      <c r="B36" s="35"/>
      <c r="C36" s="111"/>
      <c r="D36" s="111"/>
      <c r="E36" s="111"/>
      <c r="F36" s="199"/>
      <c r="G36" s="268"/>
      <c r="H36" s="113"/>
      <c r="I36" s="113"/>
      <c r="J36" s="111"/>
      <c r="K36" s="91"/>
      <c r="L36" s="111"/>
      <c r="M36" s="111"/>
      <c r="N36" s="111"/>
      <c r="O36" s="131"/>
      <c r="P36" s="104"/>
    </row>
    <row r="37" spans="1:20" s="33" customFormat="1">
      <c r="B37" s="35"/>
      <c r="C37" s="111"/>
      <c r="D37" s="111"/>
      <c r="E37" s="111"/>
      <c r="F37" s="111"/>
      <c r="G37" s="135" t="s">
        <v>19</v>
      </c>
      <c r="H37" s="111"/>
      <c r="I37" s="111"/>
      <c r="J37" s="111"/>
      <c r="K37" s="135" t="s">
        <v>20</v>
      </c>
      <c r="L37" s="111"/>
      <c r="M37" s="111"/>
      <c r="N37" s="111"/>
      <c r="O37" s="131"/>
      <c r="P37" s="104"/>
    </row>
    <row r="38" spans="1:20" ht="18.75" customHeight="1">
      <c r="A38" s="273"/>
      <c r="B38" s="35"/>
      <c r="C38" s="35"/>
      <c r="D38" s="35"/>
      <c r="E38" s="201" t="s">
        <v>58</v>
      </c>
      <c r="F38" s="35"/>
      <c r="G38" s="345" t="s">
        <v>280</v>
      </c>
      <c r="H38" s="345" t="s">
        <v>284</v>
      </c>
      <c r="I38" s="345" t="s">
        <v>281</v>
      </c>
      <c r="J38" s="35"/>
      <c r="K38" s="132" t="s">
        <v>181</v>
      </c>
      <c r="L38" s="35"/>
      <c r="M38" s="35"/>
      <c r="N38" s="35"/>
      <c r="O38" s="131"/>
      <c r="P38" s="104"/>
      <c r="Q38" s="273" t="s">
        <v>207</v>
      </c>
      <c r="R38" s="273"/>
      <c r="S38" s="273"/>
      <c r="T38" s="273"/>
    </row>
    <row r="39" spans="1:20" ht="45" customHeight="1">
      <c r="A39" s="273"/>
      <c r="B39" s="133" t="s">
        <v>184</v>
      </c>
      <c r="C39" s="114"/>
      <c r="D39" s="114" t="s">
        <v>193</v>
      </c>
      <c r="E39" s="325" t="s">
        <v>195</v>
      </c>
      <c r="F39" s="35" t="s">
        <v>197</v>
      </c>
      <c r="G39" s="345"/>
      <c r="H39" s="345"/>
      <c r="I39" s="345"/>
      <c r="J39" s="114"/>
      <c r="K39" s="132" t="s">
        <v>204</v>
      </c>
      <c r="L39" s="35"/>
      <c r="M39" s="35"/>
      <c r="N39" s="35"/>
      <c r="O39" s="131"/>
      <c r="P39" s="104"/>
      <c r="Q39" s="329">
        <v>1</v>
      </c>
      <c r="R39" s="330">
        <v>0.9</v>
      </c>
      <c r="S39" s="331">
        <v>0.8</v>
      </c>
      <c r="T39" s="331">
        <v>0.7</v>
      </c>
    </row>
    <row r="40" spans="1:20" ht="19.5">
      <c r="A40" s="273"/>
      <c r="B40" s="107" t="s">
        <v>34</v>
      </c>
      <c r="C40" s="115" t="s">
        <v>192</v>
      </c>
      <c r="D40" s="115" t="s">
        <v>194</v>
      </c>
      <c r="E40" s="326" t="s">
        <v>196</v>
      </c>
      <c r="F40" s="35" t="s">
        <v>198</v>
      </c>
      <c r="G40" s="345"/>
      <c r="H40" s="345"/>
      <c r="I40" s="345"/>
      <c r="J40" s="116"/>
      <c r="K40" s="132" t="s">
        <v>77</v>
      </c>
      <c r="L40" s="35"/>
      <c r="M40" s="35"/>
      <c r="N40" s="35"/>
      <c r="O40" s="131"/>
      <c r="P40" s="104"/>
      <c r="Q40" s="36">
        <f>K48</f>
        <v>1980</v>
      </c>
      <c r="R40" s="60">
        <f>(($K$42*R39)*30%)/12</f>
        <v>1781.55</v>
      </c>
      <c r="S40" s="60">
        <f t="shared" ref="S40:T40" si="1">(($K$42*S39)*30%)/12</f>
        <v>1583.6000000000001</v>
      </c>
      <c r="T40" s="60">
        <f t="shared" si="1"/>
        <v>1385.6499999999999</v>
      </c>
    </row>
    <row r="41" spans="1:20" ht="16">
      <c r="A41" s="273"/>
      <c r="B41" s="35" t="s">
        <v>60</v>
      </c>
      <c r="C41" s="117"/>
      <c r="D41" s="117"/>
      <c r="E41" s="117"/>
      <c r="F41" s="52"/>
      <c r="G41" s="85">
        <f>E41</f>
        <v>0</v>
      </c>
      <c r="H41" s="85">
        <f>(E41*(D41+D42))*12</f>
        <v>0</v>
      </c>
      <c r="I41" s="85">
        <f t="shared" ref="I41:I57" si="2">G41*D41*12</f>
        <v>0</v>
      </c>
      <c r="J41" s="118"/>
      <c r="K41" s="35"/>
      <c r="L41" s="119" t="s">
        <v>76</v>
      </c>
      <c r="M41" s="120"/>
      <c r="N41" s="120"/>
      <c r="O41" s="131"/>
      <c r="P41" s="104"/>
      <c r="Q41" s="36">
        <f>IF(G41&lt;$K$48,D41,0)</f>
        <v>0</v>
      </c>
      <c r="R41" s="60">
        <f t="shared" ref="R41:T56" si="3">IF($G41&lt;R$40,$D41,0)</f>
        <v>0</v>
      </c>
      <c r="S41" s="60">
        <f t="shared" si="3"/>
        <v>0</v>
      </c>
      <c r="T41" s="60">
        <f t="shared" si="3"/>
        <v>0</v>
      </c>
    </row>
    <row r="42" spans="1:20" ht="16">
      <c r="A42" s="273"/>
      <c r="B42" s="107" t="s">
        <v>59</v>
      </c>
      <c r="C42" s="117"/>
      <c r="D42" s="117"/>
      <c r="E42" s="193"/>
      <c r="F42" s="200"/>
      <c r="G42" s="85">
        <f>E41*F42</f>
        <v>0</v>
      </c>
      <c r="H42" s="85"/>
      <c r="I42" s="85">
        <f t="shared" si="2"/>
        <v>0</v>
      </c>
      <c r="J42" s="118"/>
      <c r="K42" s="117">
        <v>79180</v>
      </c>
      <c r="L42" s="35" t="s">
        <v>74</v>
      </c>
      <c r="M42" s="35"/>
      <c r="N42" s="35"/>
      <c r="O42" s="131"/>
      <c r="P42" s="104"/>
      <c r="Q42" s="36">
        <f t="shared" ref="Q42:Q56" si="4">IF(G42&lt;$K$48,D42,0)</f>
        <v>0</v>
      </c>
      <c r="R42" s="60">
        <f t="shared" si="3"/>
        <v>0</v>
      </c>
      <c r="S42" s="60">
        <f t="shared" si="3"/>
        <v>0</v>
      </c>
      <c r="T42" s="60">
        <f t="shared" si="3"/>
        <v>0</v>
      </c>
    </row>
    <row r="43" spans="1:20">
      <c r="A43" s="273"/>
      <c r="B43" s="35" t="s">
        <v>61</v>
      </c>
      <c r="C43" s="117"/>
      <c r="D43" s="117"/>
      <c r="E43" s="117"/>
      <c r="F43" s="52"/>
      <c r="G43" s="85">
        <f>E43</f>
        <v>0</v>
      </c>
      <c r="H43" s="85">
        <f>(E43*(D43+D44))*12</f>
        <v>0</v>
      </c>
      <c r="I43" s="85">
        <f t="shared" si="2"/>
        <v>0</v>
      </c>
      <c r="J43" s="118"/>
      <c r="K43" s="85">
        <f>K42*0.3</f>
        <v>23754</v>
      </c>
      <c r="L43" s="35" t="s">
        <v>75</v>
      </c>
      <c r="M43" s="35"/>
      <c r="N43" s="35"/>
      <c r="O43" s="131"/>
      <c r="P43" s="104"/>
      <c r="Q43" s="36">
        <f t="shared" si="4"/>
        <v>0</v>
      </c>
      <c r="R43" s="60">
        <f t="shared" si="3"/>
        <v>0</v>
      </c>
      <c r="S43" s="60">
        <f t="shared" si="3"/>
        <v>0</v>
      </c>
      <c r="T43" s="60">
        <f t="shared" si="3"/>
        <v>0</v>
      </c>
    </row>
    <row r="44" spans="1:20" ht="16">
      <c r="A44" s="273"/>
      <c r="B44" s="107" t="s">
        <v>62</v>
      </c>
      <c r="C44" s="117"/>
      <c r="D44" s="117"/>
      <c r="E44" s="193"/>
      <c r="F44" s="200"/>
      <c r="G44" s="85">
        <f>E43*F44</f>
        <v>0</v>
      </c>
      <c r="H44" s="85"/>
      <c r="I44" s="85">
        <f t="shared" si="2"/>
        <v>0</v>
      </c>
      <c r="J44" s="118"/>
      <c r="K44" s="121" t="s">
        <v>199</v>
      </c>
      <c r="L44" s="39"/>
      <c r="M44" s="39"/>
      <c r="N44" s="39"/>
      <c r="O44" s="131"/>
      <c r="P44" s="104"/>
      <c r="Q44" s="36">
        <f t="shared" si="4"/>
        <v>0</v>
      </c>
      <c r="R44" s="60">
        <f t="shared" si="3"/>
        <v>0</v>
      </c>
      <c r="S44" s="60">
        <f t="shared" si="3"/>
        <v>0</v>
      </c>
      <c r="T44" s="60">
        <f t="shared" si="3"/>
        <v>0</v>
      </c>
    </row>
    <row r="45" spans="1:20">
      <c r="A45" s="273"/>
      <c r="B45" s="35" t="s">
        <v>63</v>
      </c>
      <c r="C45" s="117"/>
      <c r="D45" s="117"/>
      <c r="E45" s="117"/>
      <c r="F45" s="52"/>
      <c r="G45" s="85">
        <f>E45</f>
        <v>0</v>
      </c>
      <c r="H45" s="85">
        <f>(E45*(D45+D46))*12</f>
        <v>0</v>
      </c>
      <c r="I45" s="85">
        <f t="shared" si="2"/>
        <v>0</v>
      </c>
      <c r="J45" s="118"/>
      <c r="K45" s="121" t="s">
        <v>219</v>
      </c>
      <c r="L45" s="39"/>
      <c r="M45" s="39"/>
      <c r="N45" s="39"/>
      <c r="O45" s="131"/>
      <c r="P45" s="104"/>
      <c r="Q45" s="36">
        <f t="shared" si="4"/>
        <v>0</v>
      </c>
      <c r="R45" s="60">
        <f t="shared" si="3"/>
        <v>0</v>
      </c>
      <c r="S45" s="60">
        <f t="shared" si="3"/>
        <v>0</v>
      </c>
      <c r="T45" s="60">
        <f t="shared" si="3"/>
        <v>0</v>
      </c>
    </row>
    <row r="46" spans="1:20" ht="16">
      <c r="A46" s="273"/>
      <c r="B46" s="107" t="s">
        <v>64</v>
      </c>
      <c r="C46" s="117"/>
      <c r="D46" s="117"/>
      <c r="E46" s="193"/>
      <c r="F46" s="200"/>
      <c r="G46" s="85">
        <f>E45*F46</f>
        <v>0</v>
      </c>
      <c r="H46" s="85"/>
      <c r="I46" s="85">
        <f t="shared" si="2"/>
        <v>0</v>
      </c>
      <c r="J46" s="118"/>
      <c r="K46" s="349" t="s">
        <v>291</v>
      </c>
      <c r="L46" s="349"/>
      <c r="M46" s="349"/>
      <c r="N46" s="35"/>
      <c r="O46" s="131"/>
      <c r="P46" s="104"/>
      <c r="Q46" s="36">
        <f t="shared" si="4"/>
        <v>0</v>
      </c>
      <c r="R46" s="60">
        <f t="shared" si="3"/>
        <v>0</v>
      </c>
      <c r="S46" s="60">
        <f t="shared" si="3"/>
        <v>0</v>
      </c>
      <c r="T46" s="60">
        <f t="shared" si="3"/>
        <v>0</v>
      </c>
    </row>
    <row r="47" spans="1:20">
      <c r="A47" s="273"/>
      <c r="B47" s="35" t="s">
        <v>65</v>
      </c>
      <c r="C47" s="117"/>
      <c r="D47" s="117"/>
      <c r="E47" s="117"/>
      <c r="F47" s="52"/>
      <c r="G47" s="85">
        <f>E47</f>
        <v>0</v>
      </c>
      <c r="H47" s="85">
        <f>(E47*(D47+D48))*12</f>
        <v>0</v>
      </c>
      <c r="I47" s="85">
        <f t="shared" si="2"/>
        <v>0</v>
      </c>
      <c r="J47" s="118"/>
      <c r="K47" s="85">
        <f>ROUND(D58*0.2,0)</f>
        <v>0</v>
      </c>
      <c r="L47" s="85" t="s">
        <v>200</v>
      </c>
      <c r="M47" s="85"/>
      <c r="N47" s="35"/>
      <c r="O47" s="131"/>
      <c r="P47" s="104"/>
      <c r="Q47" s="36">
        <f t="shared" si="4"/>
        <v>0</v>
      </c>
      <c r="R47" s="60">
        <f t="shared" si="3"/>
        <v>0</v>
      </c>
      <c r="S47" s="60">
        <f t="shared" si="3"/>
        <v>0</v>
      </c>
      <c r="T47" s="60">
        <f t="shared" si="3"/>
        <v>0</v>
      </c>
    </row>
    <row r="48" spans="1:20" ht="16">
      <c r="A48" s="273"/>
      <c r="B48" s="107" t="s">
        <v>66</v>
      </c>
      <c r="C48" s="117"/>
      <c r="D48" s="117"/>
      <c r="E48" s="193"/>
      <c r="F48" s="200"/>
      <c r="G48" s="85">
        <f>E47*F48</f>
        <v>0</v>
      </c>
      <c r="H48" s="85"/>
      <c r="I48" s="85">
        <f t="shared" si="2"/>
        <v>0</v>
      </c>
      <c r="J48" s="118"/>
      <c r="K48" s="85">
        <f>ROUND(K43/12,0)</f>
        <v>1980</v>
      </c>
      <c r="L48" s="85" t="s">
        <v>78</v>
      </c>
      <c r="M48" s="85"/>
      <c r="N48" s="35"/>
      <c r="O48" s="131"/>
      <c r="P48" s="104"/>
      <c r="Q48" s="36">
        <f t="shared" si="4"/>
        <v>0</v>
      </c>
      <c r="R48" s="60">
        <f t="shared" si="3"/>
        <v>0</v>
      </c>
      <c r="S48" s="60">
        <f t="shared" si="3"/>
        <v>0</v>
      </c>
      <c r="T48" s="60">
        <f t="shared" si="3"/>
        <v>0</v>
      </c>
    </row>
    <row r="49" spans="1:20">
      <c r="A49" s="273"/>
      <c r="B49" s="35" t="s">
        <v>67</v>
      </c>
      <c r="C49" s="117"/>
      <c r="D49" s="117"/>
      <c r="E49" s="117"/>
      <c r="F49" s="52"/>
      <c r="G49" s="85">
        <f>E49</f>
        <v>0</v>
      </c>
      <c r="H49" s="85">
        <f>(E49*(D49+D50))*12</f>
        <v>0</v>
      </c>
      <c r="I49" s="85">
        <f t="shared" si="2"/>
        <v>0</v>
      </c>
      <c r="J49" s="118"/>
      <c r="K49" s="35"/>
      <c r="L49" s="35"/>
      <c r="M49" s="35"/>
      <c r="N49" s="35"/>
      <c r="O49" s="131"/>
      <c r="P49" s="104"/>
      <c r="Q49" s="36">
        <f t="shared" si="4"/>
        <v>0</v>
      </c>
      <c r="R49" s="60">
        <f t="shared" si="3"/>
        <v>0</v>
      </c>
      <c r="S49" s="60">
        <f t="shared" si="3"/>
        <v>0</v>
      </c>
      <c r="T49" s="60">
        <f t="shared" si="3"/>
        <v>0</v>
      </c>
    </row>
    <row r="50" spans="1:20" ht="16">
      <c r="A50" s="273"/>
      <c r="B50" s="107" t="s">
        <v>185</v>
      </c>
      <c r="C50" s="117"/>
      <c r="D50" s="117"/>
      <c r="E50" s="193"/>
      <c r="F50" s="200"/>
      <c r="G50" s="85">
        <f>E49*F50</f>
        <v>0</v>
      </c>
      <c r="H50" s="85"/>
      <c r="I50" s="85">
        <f t="shared" si="2"/>
        <v>0</v>
      </c>
      <c r="J50" s="118"/>
      <c r="K50" s="85">
        <f>SUM(Q41:Q56)</f>
        <v>0</v>
      </c>
      <c r="L50" s="85" t="s">
        <v>201</v>
      </c>
      <c r="M50" s="85"/>
      <c r="N50" s="35"/>
      <c r="O50" s="131"/>
      <c r="P50" s="104"/>
      <c r="Q50" s="36">
        <f t="shared" si="4"/>
        <v>0</v>
      </c>
      <c r="R50" s="60">
        <f t="shared" si="3"/>
        <v>0</v>
      </c>
      <c r="S50" s="60">
        <f t="shared" si="3"/>
        <v>0</v>
      </c>
      <c r="T50" s="60">
        <f t="shared" si="3"/>
        <v>0</v>
      </c>
    </row>
    <row r="51" spans="1:20">
      <c r="A51" s="273"/>
      <c r="B51" s="35" t="s">
        <v>68</v>
      </c>
      <c r="C51" s="117"/>
      <c r="D51" s="117"/>
      <c r="E51" s="117"/>
      <c r="F51" s="52"/>
      <c r="G51" s="85">
        <f>E51</f>
        <v>0</v>
      </c>
      <c r="H51" s="85">
        <f>(E51*(D51+D52))*12</f>
        <v>0</v>
      </c>
      <c r="I51" s="85">
        <f t="shared" si="2"/>
        <v>0</v>
      </c>
      <c r="J51" s="118"/>
      <c r="K51" s="324">
        <f>Q57</f>
        <v>0</v>
      </c>
      <c r="L51" s="85" t="s">
        <v>202</v>
      </c>
      <c r="M51" s="85"/>
      <c r="N51" s="35"/>
      <c r="O51" s="131"/>
      <c r="P51" s="104"/>
      <c r="Q51" s="36">
        <f t="shared" si="4"/>
        <v>0</v>
      </c>
      <c r="R51" s="60">
        <f t="shared" si="3"/>
        <v>0</v>
      </c>
      <c r="S51" s="60">
        <f t="shared" si="3"/>
        <v>0</v>
      </c>
      <c r="T51" s="60">
        <f t="shared" si="3"/>
        <v>0</v>
      </c>
    </row>
    <row r="52" spans="1:20" ht="16">
      <c r="A52" s="273"/>
      <c r="B52" s="107" t="s">
        <v>69</v>
      </c>
      <c r="C52" s="117"/>
      <c r="D52" s="117">
        <v>0</v>
      </c>
      <c r="E52" s="193"/>
      <c r="F52" s="200"/>
      <c r="G52" s="85">
        <f>E51*F52</f>
        <v>0</v>
      </c>
      <c r="H52" s="85"/>
      <c r="I52" s="85">
        <f t="shared" si="2"/>
        <v>0</v>
      </c>
      <c r="J52" s="118"/>
      <c r="K52" s="135" t="str">
        <f>IF(K51&gt;=20%, "Oui", "Non")</f>
        <v>Non</v>
      </c>
      <c r="L52" s="39" t="s">
        <v>203</v>
      </c>
      <c r="M52" s="39"/>
      <c r="N52" s="35"/>
      <c r="O52" s="131"/>
      <c r="P52" s="104"/>
      <c r="Q52" s="36">
        <f t="shared" si="4"/>
        <v>0</v>
      </c>
      <c r="R52" s="60">
        <f t="shared" si="3"/>
        <v>0</v>
      </c>
      <c r="S52" s="60">
        <f t="shared" si="3"/>
        <v>0</v>
      </c>
      <c r="T52" s="60">
        <f t="shared" si="3"/>
        <v>0</v>
      </c>
    </row>
    <row r="53" spans="1:20">
      <c r="A53" s="273"/>
      <c r="B53" s="35" t="s">
        <v>70</v>
      </c>
      <c r="C53" s="117"/>
      <c r="D53" s="117"/>
      <c r="E53" s="117"/>
      <c r="F53" s="52"/>
      <c r="G53" s="85">
        <f>E53</f>
        <v>0</v>
      </c>
      <c r="H53" s="85">
        <f>(E53*(D53+D54))*12</f>
        <v>0</v>
      </c>
      <c r="I53" s="85">
        <f t="shared" si="2"/>
        <v>0</v>
      </c>
      <c r="J53" s="118"/>
      <c r="K53" s="65"/>
      <c r="L53" s="35"/>
      <c r="M53" s="35"/>
      <c r="N53" s="35"/>
      <c r="O53" s="131"/>
      <c r="P53" s="104"/>
      <c r="Q53" s="36">
        <f t="shared" si="4"/>
        <v>0</v>
      </c>
      <c r="R53" s="60">
        <f t="shared" si="3"/>
        <v>0</v>
      </c>
      <c r="S53" s="60">
        <f t="shared" si="3"/>
        <v>0</v>
      </c>
      <c r="T53" s="60">
        <f t="shared" si="3"/>
        <v>0</v>
      </c>
    </row>
    <row r="54" spans="1:20" ht="16">
      <c r="A54" s="273"/>
      <c r="B54" s="107" t="s">
        <v>71</v>
      </c>
      <c r="C54" s="117"/>
      <c r="D54" s="117"/>
      <c r="E54" s="193"/>
      <c r="F54" s="200"/>
      <c r="G54" s="85">
        <f>E53*F54</f>
        <v>0</v>
      </c>
      <c r="H54" s="85"/>
      <c r="I54" s="85">
        <f t="shared" si="2"/>
        <v>0</v>
      </c>
      <c r="J54" s="118"/>
      <c r="K54" s="65"/>
      <c r="L54" s="35"/>
      <c r="M54" s="35"/>
      <c r="N54" s="35"/>
      <c r="O54" s="131"/>
      <c r="P54" s="104"/>
      <c r="Q54" s="36">
        <f t="shared" si="4"/>
        <v>0</v>
      </c>
      <c r="R54" s="60">
        <f t="shared" si="3"/>
        <v>0</v>
      </c>
      <c r="S54" s="60">
        <f t="shared" si="3"/>
        <v>0</v>
      </c>
      <c r="T54" s="60">
        <f t="shared" si="3"/>
        <v>0</v>
      </c>
    </row>
    <row r="55" spans="1:20">
      <c r="A55" s="273"/>
      <c r="B55" s="35" t="s">
        <v>72</v>
      </c>
      <c r="C55" s="117"/>
      <c r="D55" s="117"/>
      <c r="E55" s="117"/>
      <c r="F55" s="52"/>
      <c r="G55" s="85">
        <f>E55</f>
        <v>0</v>
      </c>
      <c r="H55" s="85">
        <f>(E55*(D55+D56))*12</f>
        <v>0</v>
      </c>
      <c r="I55" s="85">
        <f t="shared" si="2"/>
        <v>0</v>
      </c>
      <c r="J55" s="118"/>
      <c r="K55" s="121"/>
      <c r="L55" s="35"/>
      <c r="M55" s="35"/>
      <c r="N55" s="35"/>
      <c r="O55" s="131"/>
      <c r="P55" s="104"/>
      <c r="Q55" s="36">
        <f t="shared" si="4"/>
        <v>0</v>
      </c>
      <c r="R55" s="60">
        <f t="shared" si="3"/>
        <v>0</v>
      </c>
      <c r="S55" s="60">
        <f t="shared" si="3"/>
        <v>0</v>
      </c>
      <c r="T55" s="60">
        <f t="shared" si="3"/>
        <v>0</v>
      </c>
    </row>
    <row r="56" spans="1:20" ht="16">
      <c r="A56" s="273"/>
      <c r="B56" s="107" t="s">
        <v>73</v>
      </c>
      <c r="C56" s="117"/>
      <c r="D56" s="117"/>
      <c r="E56" s="193"/>
      <c r="F56" s="200"/>
      <c r="G56" s="85">
        <f>E55*F56</f>
        <v>0</v>
      </c>
      <c r="H56" s="85"/>
      <c r="I56" s="85">
        <f t="shared" si="2"/>
        <v>0</v>
      </c>
      <c r="J56" s="118"/>
      <c r="K56" s="121"/>
      <c r="L56" s="35"/>
      <c r="M56" s="35"/>
      <c r="N56" s="35"/>
      <c r="O56" s="131"/>
      <c r="P56" s="104"/>
      <c r="Q56" s="36">
        <f t="shared" si="4"/>
        <v>0</v>
      </c>
      <c r="R56" s="60">
        <f t="shared" si="3"/>
        <v>0</v>
      </c>
      <c r="S56" s="60">
        <f t="shared" si="3"/>
        <v>0</v>
      </c>
      <c r="T56" s="60">
        <f t="shared" si="3"/>
        <v>0</v>
      </c>
    </row>
    <row r="57" spans="1:20" ht="16">
      <c r="A57" s="273"/>
      <c r="B57" s="35" t="s">
        <v>186</v>
      </c>
      <c r="C57" s="122"/>
      <c r="D57" s="122"/>
      <c r="E57" s="122"/>
      <c r="F57" s="52"/>
      <c r="G57" s="112">
        <f>E57</f>
        <v>0</v>
      </c>
      <c r="H57" s="112">
        <f>G57*D57*12</f>
        <v>0</v>
      </c>
      <c r="I57" s="85">
        <f t="shared" si="2"/>
        <v>0</v>
      </c>
      <c r="J57" s="107"/>
      <c r="K57" s="65"/>
      <c r="L57" s="35"/>
      <c r="M57" s="35"/>
      <c r="N57" s="35"/>
      <c r="O57" s="131"/>
      <c r="P57" s="104"/>
      <c r="Q57" s="329">
        <f>IF(D58=0, 0, SUM(Q41:Q56)/D58)</f>
        <v>0</v>
      </c>
      <c r="R57" s="330">
        <f>IF(D58=0, 0, SUM(R41:R56)/D58)</f>
        <v>0</v>
      </c>
      <c r="S57" s="330">
        <f>IF(D58=0, 0, SUM(S41:S56)/D58)</f>
        <v>0</v>
      </c>
      <c r="T57" s="330">
        <f>IF(D58=0, 0, SUM(T41:T56)/D58)</f>
        <v>0</v>
      </c>
    </row>
    <row r="58" spans="1:20">
      <c r="A58" s="273"/>
      <c r="B58" s="35" t="s">
        <v>87</v>
      </c>
      <c r="C58" s="35">
        <f>SUMPRODUCT(C41:C57,D41:D57)</f>
        <v>0</v>
      </c>
      <c r="D58" s="35">
        <f>SUM(D41:D57)</f>
        <v>0</v>
      </c>
      <c r="E58" s="35"/>
      <c r="F58" s="35"/>
      <c r="G58" s="332">
        <f>IF(H58=0, 0, I58/H58)</f>
        <v>0</v>
      </c>
      <c r="H58" s="85">
        <f>SUM(H41:H57)</f>
        <v>0</v>
      </c>
      <c r="I58" s="85">
        <f>SUM(I41:I57)</f>
        <v>0</v>
      </c>
      <c r="J58" s="123"/>
      <c r="K58" s="65"/>
      <c r="L58" s="35"/>
      <c r="M58" s="35"/>
      <c r="N58" s="35"/>
      <c r="O58" s="131"/>
      <c r="P58" s="104"/>
      <c r="Q58" s="273"/>
      <c r="R58" s="269" t="str">
        <f>IF(R57=20%,"Oui",IF(R57&gt;20%,"Oui","Non"))</f>
        <v>Non</v>
      </c>
      <c r="S58" s="270" t="str">
        <f>IF(S57=20%,"Oui",IF(S57&gt;20%,"Oui","Non"))</f>
        <v>Non</v>
      </c>
      <c r="T58" s="269" t="str">
        <f>IF(T57=20%,"Oui",IF(T57&gt;20%,"Oui","Non"))</f>
        <v>Non</v>
      </c>
    </row>
    <row r="59" spans="1:20">
      <c r="A59" s="273"/>
      <c r="B59" s="35" t="s">
        <v>79</v>
      </c>
      <c r="C59" s="274" t="str">
        <f>IF(C58+'Portion non résidentielle'!C50=0,"",C58/(C58+'Portion non résidentielle'!C50))</f>
        <v/>
      </c>
      <c r="D59" s="273"/>
      <c r="E59" s="35"/>
      <c r="F59" s="254" t="s">
        <v>205</v>
      </c>
      <c r="G59" s="135" t="str">
        <f>IF(G58&lt;=90%,"Oui", "Non")</f>
        <v>Oui</v>
      </c>
      <c r="H59" s="39"/>
      <c r="I59" s="39"/>
      <c r="J59" s="123"/>
      <c r="K59" s="65"/>
      <c r="L59" s="35"/>
      <c r="M59" s="35"/>
      <c r="N59" s="35"/>
      <c r="O59" s="131"/>
      <c r="P59" s="104"/>
      <c r="Q59" s="273"/>
      <c r="R59" s="271"/>
      <c r="S59" s="271"/>
      <c r="T59" s="271"/>
    </row>
    <row r="60" spans="1:20" s="33" customFormat="1">
      <c r="A60" s="273"/>
      <c r="B60" s="35"/>
      <c r="C60" s="182" t="s">
        <v>187</v>
      </c>
      <c r="D60" s="183">
        <f>D42+D44+D46+D48+D50+D52+D54+D56</f>
        <v>0</v>
      </c>
      <c r="E60" s="35"/>
      <c r="F60" s="35"/>
      <c r="G60" s="234"/>
      <c r="H60" s="39"/>
      <c r="I60" s="39"/>
      <c r="J60" s="123"/>
      <c r="K60" s="65"/>
      <c r="L60" s="35"/>
      <c r="M60" s="35"/>
      <c r="N60" s="35"/>
      <c r="O60" s="131"/>
      <c r="P60" s="104"/>
      <c r="Q60" s="273"/>
      <c r="R60" s="271"/>
      <c r="S60" s="271"/>
      <c r="T60" s="271"/>
    </row>
    <row r="61" spans="1:20" s="33" customFormat="1">
      <c r="C61" s="184" t="s">
        <v>80</v>
      </c>
      <c r="D61" s="185">
        <f>D58-D60</f>
        <v>0</v>
      </c>
      <c r="E61" s="111"/>
      <c r="F61" s="199"/>
      <c r="G61" s="268"/>
      <c r="H61" s="113"/>
      <c r="I61" s="113"/>
      <c r="J61" s="111"/>
      <c r="K61" s="91"/>
      <c r="L61" s="111"/>
      <c r="M61" s="111"/>
      <c r="N61" s="111"/>
      <c r="O61" s="131"/>
      <c r="P61" s="104"/>
    </row>
    <row r="62" spans="1:20">
      <c r="A62" s="33"/>
      <c r="B62" s="35"/>
      <c r="C62" s="111"/>
      <c r="D62" s="111"/>
      <c r="E62" s="111"/>
      <c r="F62" s="199"/>
      <c r="G62" s="268"/>
      <c r="H62" s="113"/>
      <c r="I62" s="113"/>
      <c r="J62" s="111"/>
      <c r="K62" s="91"/>
      <c r="L62" s="111"/>
      <c r="M62" s="111"/>
      <c r="N62" s="111"/>
      <c r="O62" s="131"/>
      <c r="P62" s="104"/>
      <c r="Q62" s="33"/>
      <c r="R62" s="33"/>
      <c r="S62" s="33"/>
      <c r="T62" s="33"/>
    </row>
    <row r="63" spans="1:20">
      <c r="A63" s="273"/>
      <c r="B63" s="35" t="s">
        <v>208</v>
      </c>
      <c r="C63" s="35"/>
      <c r="D63" s="35"/>
      <c r="E63" s="35"/>
      <c r="F63" s="348" t="s">
        <v>182</v>
      </c>
      <c r="G63" s="348"/>
      <c r="H63" s="348"/>
      <c r="I63" s="124"/>
      <c r="J63" s="54"/>
      <c r="K63" s="65"/>
      <c r="L63" s="35"/>
      <c r="M63" s="35"/>
      <c r="N63" s="35"/>
      <c r="O63" s="131"/>
      <c r="P63" s="104"/>
      <c r="Q63" s="273"/>
      <c r="R63" s="273"/>
      <c r="S63" s="273"/>
      <c r="T63" s="273"/>
    </row>
    <row r="64" spans="1:20" ht="16">
      <c r="A64" s="273"/>
      <c r="B64" s="35" t="s">
        <v>88</v>
      </c>
      <c r="C64" s="35"/>
      <c r="D64" s="35"/>
      <c r="E64" s="35"/>
      <c r="F64" s="35"/>
      <c r="G64" s="35"/>
      <c r="H64" s="107"/>
      <c r="I64" s="109">
        <f>I58*I63</f>
        <v>0</v>
      </c>
      <c r="J64" s="107"/>
      <c r="K64" s="121"/>
      <c r="L64" s="35"/>
      <c r="M64" s="35"/>
      <c r="N64" s="35"/>
      <c r="O64" s="131"/>
      <c r="P64" s="104"/>
      <c r="Q64" s="273"/>
      <c r="R64" s="273"/>
      <c r="S64" s="273"/>
      <c r="T64" s="273"/>
    </row>
    <row r="65" spans="1:20">
      <c r="A65" s="273"/>
      <c r="B65" s="35" t="s">
        <v>81</v>
      </c>
      <c r="C65" s="35"/>
      <c r="D65" s="35"/>
      <c r="E65" s="35"/>
      <c r="F65" s="35"/>
      <c r="G65" s="35"/>
      <c r="H65" s="35"/>
      <c r="I65" s="85">
        <f>I58-I64</f>
        <v>0</v>
      </c>
      <c r="J65" s="35"/>
      <c r="K65" s="121"/>
      <c r="L65" s="35"/>
      <c r="M65" s="35"/>
      <c r="N65" s="35"/>
      <c r="O65" s="131"/>
      <c r="P65" s="104"/>
      <c r="Q65" s="273"/>
      <c r="R65" s="273"/>
      <c r="S65" s="273"/>
      <c r="T65" s="273"/>
    </row>
    <row r="66" spans="1:20" ht="15.5">
      <c r="A66" s="273"/>
      <c r="B66" s="35"/>
      <c r="C66" s="35"/>
      <c r="D66" s="35"/>
      <c r="E66" s="247" t="s">
        <v>58</v>
      </c>
      <c r="F66" s="35"/>
      <c r="G66" s="247" t="s">
        <v>83</v>
      </c>
      <c r="H66" s="35"/>
      <c r="I66" s="35"/>
      <c r="J66" s="35"/>
      <c r="K66" s="239"/>
      <c r="L66" s="35"/>
      <c r="M66" s="35"/>
      <c r="N66" s="35"/>
      <c r="O66" s="131"/>
      <c r="P66" s="104"/>
      <c r="Q66" s="273"/>
      <c r="R66" s="273"/>
      <c r="S66" s="273"/>
      <c r="T66" s="273"/>
    </row>
    <row r="67" spans="1:20" ht="16">
      <c r="A67" s="273"/>
      <c r="B67" s="133" t="s">
        <v>97</v>
      </c>
      <c r="C67" s="35"/>
      <c r="D67" s="115" t="s">
        <v>183</v>
      </c>
      <c r="E67" s="173" t="s">
        <v>84</v>
      </c>
      <c r="F67" s="35"/>
      <c r="G67" s="176"/>
      <c r="H67" s="35"/>
      <c r="I67" s="35"/>
      <c r="J67" s="35"/>
      <c r="K67" s="65"/>
      <c r="L67" s="35"/>
      <c r="M67" s="35"/>
      <c r="N67" s="35"/>
      <c r="O67" s="131"/>
      <c r="P67" s="104"/>
      <c r="Q67" s="273"/>
      <c r="R67" s="273"/>
      <c r="S67" s="273"/>
      <c r="T67" s="273"/>
    </row>
    <row r="68" spans="1:20">
      <c r="A68" s="273"/>
      <c r="B68" s="35" t="s">
        <v>82</v>
      </c>
      <c r="C68" s="35"/>
      <c r="D68" s="117"/>
      <c r="E68" s="174"/>
      <c r="F68" s="35"/>
      <c r="G68" s="177">
        <f>E68*D68*12</f>
        <v>0</v>
      </c>
      <c r="H68" s="35"/>
      <c r="I68" s="85">
        <f>G68</f>
        <v>0</v>
      </c>
      <c r="J68" s="35"/>
      <c r="K68" s="65"/>
      <c r="L68" s="35"/>
      <c r="M68" s="35"/>
      <c r="N68" s="35"/>
      <c r="O68" s="131"/>
      <c r="P68" s="104"/>
      <c r="Q68" s="273"/>
      <c r="R68" s="273"/>
      <c r="S68" s="273"/>
      <c r="T68" s="273"/>
    </row>
    <row r="69" spans="1:20">
      <c r="A69" s="273"/>
      <c r="B69" s="35" t="s">
        <v>209</v>
      </c>
      <c r="C69" s="35"/>
      <c r="D69" s="117"/>
      <c r="E69" s="175"/>
      <c r="F69" s="35"/>
      <c r="G69" s="177">
        <f>E69*D69*12</f>
        <v>0</v>
      </c>
      <c r="H69" s="35"/>
      <c r="I69" s="85">
        <f t="shared" ref="I69:I71" si="5">G69</f>
        <v>0</v>
      </c>
      <c r="J69" s="35"/>
      <c r="K69" s="65"/>
      <c r="L69" s="35"/>
      <c r="M69" s="35"/>
      <c r="N69" s="35"/>
      <c r="O69" s="131"/>
      <c r="P69" s="104"/>
      <c r="Q69" s="273"/>
      <c r="R69" s="273"/>
      <c r="S69" s="273"/>
      <c r="T69" s="273"/>
    </row>
    <row r="70" spans="1:20" ht="16">
      <c r="A70" s="273"/>
      <c r="B70" s="35" t="s">
        <v>85</v>
      </c>
      <c r="C70" s="35"/>
      <c r="D70" s="35"/>
      <c r="E70" s="35"/>
      <c r="F70" s="114"/>
      <c r="G70" s="178"/>
      <c r="H70" s="55"/>
      <c r="I70" s="109">
        <f t="shared" si="5"/>
        <v>0</v>
      </c>
      <c r="J70" s="55"/>
      <c r="K70" s="65"/>
      <c r="L70" s="35"/>
      <c r="M70" s="35"/>
      <c r="N70" s="35"/>
      <c r="O70" s="131"/>
      <c r="P70" s="104"/>
      <c r="Q70" s="273"/>
      <c r="R70" s="273"/>
      <c r="S70" s="273"/>
      <c r="T70" s="273"/>
    </row>
    <row r="71" spans="1:20">
      <c r="A71" s="273"/>
      <c r="B71" s="35" t="s">
        <v>0</v>
      </c>
      <c r="C71" s="35"/>
      <c r="D71" s="35"/>
      <c r="E71" s="35"/>
      <c r="F71" s="54"/>
      <c r="G71" s="177">
        <f>SUM(G68:G70)</f>
        <v>0</v>
      </c>
      <c r="H71" s="35"/>
      <c r="I71" s="85">
        <f t="shared" si="5"/>
        <v>0</v>
      </c>
      <c r="J71" s="35"/>
      <c r="K71" s="65"/>
      <c r="L71" s="35"/>
      <c r="M71" s="35"/>
      <c r="N71" s="35"/>
      <c r="O71" s="131"/>
      <c r="P71" s="104"/>
      <c r="Q71" s="273"/>
      <c r="R71" s="273"/>
      <c r="S71" s="273"/>
      <c r="T71" s="273"/>
    </row>
    <row r="72" spans="1:20">
      <c r="A72" s="273"/>
      <c r="B72" s="35" t="s">
        <v>208</v>
      </c>
      <c r="C72" s="35"/>
      <c r="D72" s="35"/>
      <c r="E72" s="35"/>
      <c r="F72" s="35"/>
      <c r="G72" s="333">
        <f>I63</f>
        <v>0</v>
      </c>
      <c r="H72" s="49"/>
      <c r="I72" s="85"/>
      <c r="J72" s="54"/>
      <c r="K72" s="65"/>
      <c r="L72" s="35"/>
      <c r="M72" s="35"/>
      <c r="N72" s="35"/>
      <c r="O72" s="131"/>
      <c r="P72" s="104"/>
      <c r="Q72" s="273"/>
      <c r="R72" s="273"/>
      <c r="S72" s="273"/>
      <c r="T72" s="273"/>
    </row>
    <row r="73" spans="1:20" ht="16">
      <c r="A73" s="273"/>
      <c r="B73" s="35" t="s">
        <v>88</v>
      </c>
      <c r="C73" s="35"/>
      <c r="D73" s="35"/>
      <c r="E73" s="35"/>
      <c r="F73" s="35"/>
      <c r="G73" s="179">
        <f>G72*G71</f>
        <v>0</v>
      </c>
      <c r="H73" s="107"/>
      <c r="I73" s="109">
        <f>G73</f>
        <v>0</v>
      </c>
      <c r="J73" s="107"/>
      <c r="K73" s="65"/>
      <c r="L73" s="35"/>
      <c r="M73" s="35"/>
      <c r="N73" s="35"/>
      <c r="O73" s="131"/>
      <c r="P73" s="104"/>
      <c r="Q73" s="273"/>
      <c r="R73" s="273"/>
      <c r="S73" s="273"/>
      <c r="T73" s="273"/>
    </row>
    <row r="74" spans="1:20">
      <c r="A74" s="273"/>
      <c r="B74" s="35" t="s">
        <v>81</v>
      </c>
      <c r="C74" s="35"/>
      <c r="D74" s="35"/>
      <c r="E74" s="35"/>
      <c r="F74" s="35"/>
      <c r="G74" s="180">
        <f>G71-G73</f>
        <v>0</v>
      </c>
      <c r="H74" s="35"/>
      <c r="I74" s="85">
        <f>G74</f>
        <v>0</v>
      </c>
      <c r="J74" s="35"/>
      <c r="K74" s="65"/>
      <c r="L74" s="35"/>
      <c r="M74" s="35"/>
      <c r="N74" s="35"/>
      <c r="O74" s="131"/>
      <c r="P74" s="104"/>
      <c r="Q74" s="273"/>
      <c r="R74" s="273"/>
      <c r="S74" s="273"/>
      <c r="T74" s="273"/>
    </row>
    <row r="75" spans="1:20">
      <c r="A75" s="273"/>
      <c r="B75" s="35"/>
      <c r="C75" s="35"/>
      <c r="D75" s="35"/>
      <c r="E75" s="35"/>
      <c r="F75" s="35"/>
      <c r="G75" s="35"/>
      <c r="H75" s="35"/>
      <c r="I75" s="35"/>
      <c r="J75" s="35"/>
      <c r="K75" s="65"/>
      <c r="L75" s="35"/>
      <c r="M75" s="35"/>
      <c r="N75" s="35"/>
      <c r="O75" s="131"/>
      <c r="P75" s="104"/>
      <c r="Q75" s="273"/>
      <c r="R75" s="273"/>
      <c r="S75" s="273"/>
      <c r="T75" s="273"/>
    </row>
    <row r="76" spans="1:20">
      <c r="A76" s="273"/>
      <c r="B76" s="35"/>
      <c r="C76" s="35"/>
      <c r="D76" s="35"/>
      <c r="E76" s="35"/>
      <c r="F76" s="35"/>
      <c r="G76" s="35"/>
      <c r="H76" s="35"/>
      <c r="I76" s="35"/>
      <c r="J76" s="35"/>
      <c r="K76" s="65"/>
      <c r="L76" s="35"/>
      <c r="M76" s="35"/>
      <c r="N76" s="35"/>
      <c r="O76" s="131"/>
      <c r="P76" s="104"/>
      <c r="Q76" s="273"/>
      <c r="R76" s="273"/>
      <c r="S76" s="273"/>
      <c r="T76" s="273"/>
    </row>
    <row r="77" spans="1:20" ht="15.5">
      <c r="A77" s="273"/>
      <c r="B77" s="133" t="s">
        <v>86</v>
      </c>
      <c r="C77" s="35"/>
      <c r="D77" s="35"/>
      <c r="E77" s="35"/>
      <c r="F77" s="35"/>
      <c r="G77" s="247" t="s">
        <v>83</v>
      </c>
      <c r="H77" s="35"/>
      <c r="I77" s="35"/>
      <c r="J77" s="35"/>
      <c r="K77" s="65"/>
      <c r="L77" s="35"/>
      <c r="M77" s="35"/>
      <c r="N77" s="35"/>
      <c r="O77" s="131"/>
      <c r="P77" s="104"/>
      <c r="Q77" s="273"/>
      <c r="R77" s="273"/>
      <c r="S77" s="273"/>
      <c r="T77" s="273"/>
    </row>
    <row r="78" spans="1:20">
      <c r="A78" s="273"/>
      <c r="B78" s="288" t="s">
        <v>96</v>
      </c>
      <c r="C78" s="35"/>
      <c r="D78" s="35"/>
      <c r="E78" s="35"/>
      <c r="F78" s="35"/>
      <c r="G78" s="174"/>
      <c r="H78" s="35"/>
      <c r="I78" s="85">
        <f>G78</f>
        <v>0</v>
      </c>
      <c r="J78" s="35"/>
      <c r="K78" s="65"/>
      <c r="L78" s="35"/>
      <c r="M78" s="35"/>
      <c r="N78" s="35"/>
      <c r="O78" s="131"/>
      <c r="P78" s="104"/>
      <c r="Q78" s="273"/>
      <c r="R78" s="273"/>
      <c r="S78" s="273"/>
      <c r="T78" s="273"/>
    </row>
    <row r="79" spans="1:20">
      <c r="A79" s="273"/>
      <c r="B79" s="35" t="s">
        <v>208</v>
      </c>
      <c r="C79" s="35"/>
      <c r="D79" s="35"/>
      <c r="E79" s="35"/>
      <c r="F79" s="35"/>
      <c r="G79" s="181"/>
      <c r="H79" s="54"/>
      <c r="I79" s="85"/>
      <c r="J79" s="54"/>
      <c r="K79" s="65"/>
      <c r="L79" s="35"/>
      <c r="M79" s="35"/>
      <c r="N79" s="35"/>
      <c r="O79" s="131"/>
      <c r="P79" s="104"/>
      <c r="Q79" s="273"/>
      <c r="R79" s="273"/>
      <c r="S79" s="273"/>
      <c r="T79" s="273"/>
    </row>
    <row r="80" spans="1:20" ht="16">
      <c r="A80" s="273"/>
      <c r="B80" s="35" t="s">
        <v>88</v>
      </c>
      <c r="C80" s="35"/>
      <c r="D80" s="35"/>
      <c r="E80" s="35"/>
      <c r="F80" s="35"/>
      <c r="G80" s="179">
        <f>G79*G78</f>
        <v>0</v>
      </c>
      <c r="H80" s="107"/>
      <c r="I80" s="109">
        <f>G80</f>
        <v>0</v>
      </c>
      <c r="J80" s="107"/>
      <c r="K80" s="65"/>
      <c r="L80" s="35"/>
      <c r="M80" s="35"/>
      <c r="N80" s="35"/>
      <c r="O80" s="131"/>
      <c r="P80" s="104"/>
      <c r="Q80" s="273"/>
      <c r="R80" s="273"/>
      <c r="S80" s="273"/>
      <c r="T80" s="273"/>
    </row>
    <row r="81" spans="1:20">
      <c r="A81" s="273"/>
      <c r="B81" s="35" t="s">
        <v>81</v>
      </c>
      <c r="C81" s="35"/>
      <c r="D81" s="35"/>
      <c r="E81" s="35"/>
      <c r="F81" s="35"/>
      <c r="G81" s="180">
        <f>G78-G80</f>
        <v>0</v>
      </c>
      <c r="H81" s="35"/>
      <c r="I81" s="85">
        <f>G81</f>
        <v>0</v>
      </c>
      <c r="J81" s="35"/>
      <c r="K81" s="65"/>
      <c r="L81" s="35"/>
      <c r="M81" s="35"/>
      <c r="N81" s="35"/>
      <c r="O81" s="131"/>
      <c r="P81" s="104"/>
      <c r="Q81" s="273"/>
      <c r="R81" s="273"/>
      <c r="S81" s="273"/>
      <c r="T81" s="273"/>
    </row>
    <row r="82" spans="1:20" s="31" customFormat="1">
      <c r="A82" s="273"/>
      <c r="B82" s="35"/>
      <c r="C82" s="35"/>
      <c r="D82" s="35"/>
      <c r="E82" s="35"/>
      <c r="F82" s="35"/>
      <c r="G82" s="35"/>
      <c r="H82" s="35"/>
      <c r="I82" s="35"/>
      <c r="J82" s="35"/>
      <c r="K82" s="65"/>
      <c r="L82" s="35"/>
      <c r="M82" s="35"/>
      <c r="N82" s="35"/>
      <c r="O82" s="131"/>
      <c r="P82" s="104"/>
      <c r="Q82" s="273"/>
      <c r="R82" s="273"/>
      <c r="S82" s="273"/>
      <c r="T82" s="273"/>
    </row>
    <row r="83" spans="1:20" s="31" customFormat="1">
      <c r="B83" s="106" t="s">
        <v>95</v>
      </c>
      <c r="C83" s="106"/>
      <c r="D83" s="106"/>
      <c r="E83" s="106"/>
      <c r="F83" s="106"/>
      <c r="G83" s="106"/>
      <c r="H83" s="106"/>
      <c r="I83" s="125">
        <f>I81+I74+I65</f>
        <v>0</v>
      </c>
      <c r="J83" s="106"/>
      <c r="K83" s="106"/>
      <c r="L83" s="106"/>
      <c r="M83" s="106"/>
      <c r="N83" s="106"/>
      <c r="O83" s="131"/>
      <c r="P83" s="104"/>
    </row>
    <row r="84" spans="1:20">
      <c r="A84" s="31"/>
      <c r="B84" s="106"/>
      <c r="C84" s="106"/>
      <c r="D84" s="106"/>
      <c r="E84" s="106"/>
      <c r="F84" s="106"/>
      <c r="G84" s="106"/>
      <c r="H84" s="106"/>
      <c r="I84" s="106"/>
      <c r="J84" s="106"/>
      <c r="K84" s="106"/>
      <c r="L84" s="106"/>
      <c r="M84" s="106"/>
      <c r="N84" s="106"/>
      <c r="O84" s="131"/>
      <c r="P84" s="104"/>
      <c r="Q84" s="31"/>
      <c r="R84" s="31"/>
      <c r="S84" s="31"/>
      <c r="T84" s="31"/>
    </row>
    <row r="85" spans="1:20">
      <c r="A85" s="273"/>
      <c r="B85" s="35"/>
      <c r="C85" s="35"/>
      <c r="D85" s="35"/>
      <c r="E85" s="35"/>
      <c r="F85" s="35"/>
      <c r="G85" s="35"/>
      <c r="H85" s="114"/>
      <c r="I85" s="51"/>
      <c r="J85" s="51"/>
      <c r="K85" s="51"/>
      <c r="L85" s="35"/>
      <c r="M85" s="35"/>
      <c r="N85" s="35"/>
      <c r="O85" s="131"/>
      <c r="P85" s="104"/>
      <c r="Q85" s="273"/>
      <c r="R85" s="273"/>
      <c r="S85" s="273"/>
      <c r="T85" s="273"/>
    </row>
    <row r="86" spans="1:20" ht="16">
      <c r="A86" s="273"/>
      <c r="B86" s="133" t="s">
        <v>210</v>
      </c>
      <c r="C86" s="35"/>
      <c r="D86" s="35"/>
      <c r="E86" s="35"/>
      <c r="F86" s="35"/>
      <c r="G86" s="35"/>
      <c r="H86" s="115" t="s">
        <v>98</v>
      </c>
      <c r="I86" s="48"/>
      <c r="J86" s="48"/>
      <c r="K86" s="51"/>
      <c r="L86" s="35"/>
      <c r="M86" s="35"/>
      <c r="N86" s="35"/>
      <c r="O86" s="131"/>
      <c r="P86" s="104"/>
      <c r="Q86" s="273"/>
      <c r="R86" s="273"/>
      <c r="S86" s="273"/>
      <c r="T86" s="273"/>
    </row>
    <row r="87" spans="1:20">
      <c r="A87" s="273"/>
      <c r="B87" s="35" t="s">
        <v>89</v>
      </c>
      <c r="C87" s="35"/>
      <c r="D87" s="35"/>
      <c r="E87" s="35"/>
      <c r="F87" s="35"/>
      <c r="G87" s="35"/>
      <c r="H87" s="117"/>
      <c r="I87" s="85">
        <f>H87*$D$58</f>
        <v>0</v>
      </c>
      <c r="J87" s="35"/>
      <c r="K87" s="65"/>
      <c r="L87" s="35"/>
      <c r="M87" s="35"/>
      <c r="N87" s="35"/>
      <c r="O87" s="131"/>
      <c r="P87" s="104"/>
      <c r="Q87" s="273"/>
      <c r="R87" s="273"/>
      <c r="S87" s="273"/>
      <c r="T87" s="273"/>
    </row>
    <row r="88" spans="1:20">
      <c r="A88" s="273"/>
      <c r="B88" s="35" t="s">
        <v>90</v>
      </c>
      <c r="C88" s="35"/>
      <c r="D88" s="35"/>
      <c r="E88" s="35"/>
      <c r="F88" s="35"/>
      <c r="G88" s="35"/>
      <c r="H88" s="117"/>
      <c r="I88" s="85">
        <f>H88*$D$58</f>
        <v>0</v>
      </c>
      <c r="J88" s="35"/>
      <c r="K88" s="65"/>
      <c r="L88" s="35"/>
      <c r="M88" s="35"/>
      <c r="N88" s="35"/>
      <c r="O88" s="131"/>
      <c r="P88" s="104"/>
      <c r="Q88" s="273"/>
      <c r="R88" s="273"/>
      <c r="S88" s="273"/>
      <c r="T88" s="273"/>
    </row>
    <row r="89" spans="1:20">
      <c r="A89" s="273"/>
      <c r="B89" s="35" t="s">
        <v>91</v>
      </c>
      <c r="C89" s="35"/>
      <c r="D89" s="35"/>
      <c r="E89" s="35"/>
      <c r="F89" s="35"/>
      <c r="G89" s="35"/>
      <c r="H89" s="117"/>
      <c r="I89" s="85">
        <f>H89*$D$58</f>
        <v>0</v>
      </c>
      <c r="J89" s="35"/>
      <c r="K89" s="65"/>
      <c r="L89" s="35"/>
      <c r="M89" s="35"/>
      <c r="N89" s="35"/>
      <c r="O89" s="131"/>
      <c r="P89" s="104"/>
      <c r="Q89" s="273"/>
      <c r="R89" s="273"/>
      <c r="S89" s="273"/>
      <c r="T89" s="273"/>
    </row>
    <row r="90" spans="1:20">
      <c r="A90" s="273"/>
      <c r="B90" s="35" t="s">
        <v>92</v>
      </c>
      <c r="C90" s="35"/>
      <c r="D90" s="35"/>
      <c r="E90" s="35"/>
      <c r="F90" s="35"/>
      <c r="G90" s="35"/>
      <c r="H90" s="117"/>
      <c r="I90" s="85">
        <f>H90*$D$58</f>
        <v>0</v>
      </c>
      <c r="J90" s="35"/>
      <c r="K90" s="65"/>
      <c r="L90" s="35"/>
      <c r="M90" s="35"/>
      <c r="N90" s="35"/>
      <c r="O90" s="131"/>
      <c r="P90" s="104"/>
      <c r="Q90" s="273"/>
      <c r="R90" s="273"/>
      <c r="S90" s="273"/>
      <c r="T90" s="273"/>
    </row>
    <row r="91" spans="1:20" ht="16">
      <c r="A91" s="273"/>
      <c r="B91" s="35" t="s">
        <v>93</v>
      </c>
      <c r="C91" s="35"/>
      <c r="D91" s="35"/>
      <c r="E91" s="35"/>
      <c r="F91" s="35"/>
      <c r="G91" s="35"/>
      <c r="H91" s="117"/>
      <c r="I91" s="109">
        <f>H91*$D$58</f>
        <v>0</v>
      </c>
      <c r="J91" s="107"/>
      <c r="K91" s="65"/>
      <c r="L91" s="35"/>
      <c r="M91" s="35"/>
      <c r="N91" s="35"/>
      <c r="O91" s="131"/>
      <c r="P91" s="104"/>
      <c r="Q91" s="273"/>
      <c r="R91" s="273"/>
      <c r="S91" s="273"/>
      <c r="T91" s="273"/>
    </row>
    <row r="92" spans="1:20">
      <c r="A92" s="273"/>
      <c r="B92" s="35" t="s">
        <v>148</v>
      </c>
      <c r="C92" s="35"/>
      <c r="D92" s="35"/>
      <c r="E92" s="35"/>
      <c r="F92" s="35"/>
      <c r="G92" s="35"/>
      <c r="H92" s="85" t="str">
        <f>IF(D58=0, "", I92/D58)</f>
        <v/>
      </c>
      <c r="I92" s="85">
        <f>SUM(I89:I91)</f>
        <v>0</v>
      </c>
      <c r="J92" s="35"/>
      <c r="K92" s="65"/>
      <c r="L92" s="35"/>
      <c r="M92" s="35"/>
      <c r="N92" s="35"/>
      <c r="O92" s="131"/>
      <c r="P92" s="104"/>
      <c r="Q92" s="273"/>
      <c r="R92" s="273"/>
      <c r="S92" s="273"/>
      <c r="T92" s="273"/>
    </row>
    <row r="93" spans="1:20">
      <c r="A93" s="273"/>
      <c r="B93" s="35" t="s">
        <v>94</v>
      </c>
      <c r="C93" s="35"/>
      <c r="D93" s="35"/>
      <c r="E93" s="35"/>
      <c r="F93" s="35"/>
      <c r="G93" s="35"/>
      <c r="H93" s="117"/>
      <c r="I93" s="85">
        <f>H93*$D$58</f>
        <v>0</v>
      </c>
      <c r="J93" s="35"/>
      <c r="K93" s="65"/>
      <c r="L93" s="35"/>
      <c r="M93" s="35"/>
      <c r="N93" s="35"/>
      <c r="O93" s="131"/>
      <c r="P93" s="104"/>
      <c r="Q93" s="273"/>
      <c r="R93" s="273"/>
      <c r="S93" s="273"/>
      <c r="T93" s="273"/>
    </row>
    <row r="94" spans="1:20">
      <c r="A94" s="273"/>
      <c r="B94" s="35" t="s">
        <v>220</v>
      </c>
      <c r="C94" s="35"/>
      <c r="D94" s="35"/>
      <c r="E94" s="35"/>
      <c r="F94" s="35"/>
      <c r="G94" s="35"/>
      <c r="H94" s="117"/>
      <c r="I94" s="85">
        <f>H94*$D$58</f>
        <v>0</v>
      </c>
      <c r="J94" s="35"/>
      <c r="K94" s="65"/>
      <c r="L94" s="35"/>
      <c r="M94" s="35"/>
      <c r="N94" s="35"/>
      <c r="O94" s="131"/>
      <c r="P94" s="104"/>
      <c r="Q94" s="273"/>
      <c r="R94" s="273"/>
      <c r="S94" s="273"/>
      <c r="T94" s="273"/>
    </row>
    <row r="95" spans="1:20">
      <c r="A95" s="273"/>
      <c r="B95" s="117" t="s">
        <v>287</v>
      </c>
      <c r="C95" s="39"/>
      <c r="D95" s="39"/>
      <c r="E95" s="35"/>
      <c r="F95" s="35"/>
      <c r="G95" s="35"/>
      <c r="H95" s="117"/>
      <c r="I95" s="85">
        <f>H95*$D$58</f>
        <v>0</v>
      </c>
      <c r="J95" s="35"/>
      <c r="K95" s="65"/>
      <c r="L95" s="35"/>
      <c r="M95" s="35"/>
      <c r="N95" s="35"/>
      <c r="O95" s="131"/>
      <c r="P95" s="104"/>
      <c r="Q95" s="273"/>
      <c r="R95" s="273"/>
      <c r="S95" s="273"/>
      <c r="T95" s="273"/>
    </row>
    <row r="96" spans="1:20">
      <c r="A96" s="273"/>
      <c r="B96" s="117" t="s">
        <v>288</v>
      </c>
      <c r="C96" s="39"/>
      <c r="D96" s="39"/>
      <c r="E96" s="35"/>
      <c r="F96" s="35"/>
      <c r="G96" s="35"/>
      <c r="H96" s="117"/>
      <c r="I96" s="85">
        <f>H96*$D$58</f>
        <v>0</v>
      </c>
      <c r="J96" s="35"/>
      <c r="K96" s="65"/>
      <c r="L96" s="35"/>
      <c r="M96" s="35"/>
      <c r="N96" s="35"/>
      <c r="O96" s="131"/>
      <c r="P96" s="104"/>
      <c r="Q96" s="273"/>
      <c r="R96" s="273"/>
      <c r="S96" s="273"/>
      <c r="T96" s="273"/>
    </row>
    <row r="97" spans="1:20">
      <c r="A97" s="273"/>
      <c r="B97" s="117" t="s">
        <v>289</v>
      </c>
      <c r="C97" s="39"/>
      <c r="D97" s="39"/>
      <c r="E97" s="35"/>
      <c r="F97" s="35"/>
      <c r="G97" s="35"/>
      <c r="H97" s="117"/>
      <c r="I97" s="85">
        <f>H97*$D$58</f>
        <v>0</v>
      </c>
      <c r="J97" s="35"/>
      <c r="K97" s="65"/>
      <c r="L97" s="35"/>
      <c r="M97" s="35"/>
      <c r="N97" s="35"/>
      <c r="O97" s="131"/>
      <c r="P97" s="104"/>
      <c r="Q97" s="273"/>
      <c r="R97" s="273"/>
      <c r="S97" s="273"/>
      <c r="T97" s="273"/>
    </row>
    <row r="98" spans="1:20">
      <c r="A98" s="273"/>
      <c r="B98" s="35" t="s">
        <v>188</v>
      </c>
      <c r="C98" s="35"/>
      <c r="D98" s="35"/>
      <c r="E98" s="346"/>
      <c r="F98" s="346"/>
      <c r="G98" s="346"/>
      <c r="H98" s="124"/>
      <c r="I98" s="85">
        <f>H98*I83</f>
        <v>0</v>
      </c>
      <c r="J98" s="35"/>
      <c r="K98" s="65"/>
      <c r="L98" s="35"/>
      <c r="M98" s="35"/>
      <c r="N98" s="35"/>
      <c r="O98" s="131"/>
      <c r="P98" s="104"/>
      <c r="Q98" s="273"/>
      <c r="R98" s="273"/>
      <c r="S98" s="273"/>
      <c r="T98" s="273"/>
    </row>
    <row r="99" spans="1:20" ht="16">
      <c r="A99" s="273"/>
      <c r="B99" s="35" t="s">
        <v>189</v>
      </c>
      <c r="C99" s="35"/>
      <c r="D99" s="35"/>
      <c r="E99" s="346"/>
      <c r="F99" s="346"/>
      <c r="G99" s="346"/>
      <c r="H99" s="124"/>
      <c r="I99" s="109">
        <f>H99*I83</f>
        <v>0</v>
      </c>
      <c r="J99" s="107"/>
      <c r="K99" s="65"/>
      <c r="L99" s="35"/>
      <c r="M99" s="35"/>
      <c r="N99" s="35"/>
      <c r="O99" s="131"/>
      <c r="P99" s="104"/>
      <c r="Q99" s="273"/>
      <c r="R99" s="273"/>
      <c r="S99" s="273"/>
      <c r="T99" s="273"/>
    </row>
    <row r="100" spans="1:20">
      <c r="A100" s="273"/>
      <c r="B100" s="35" t="s">
        <v>211</v>
      </c>
      <c r="C100" s="35"/>
      <c r="D100" s="35"/>
      <c r="E100" s="35"/>
      <c r="F100" s="35"/>
      <c r="G100" s="35"/>
      <c r="H100" s="35"/>
      <c r="I100" s="85">
        <f>SUM(I87:I91,I93:I99)</f>
        <v>0</v>
      </c>
      <c r="J100" s="35"/>
      <c r="K100" s="65"/>
      <c r="L100" s="35"/>
      <c r="M100" s="35"/>
      <c r="N100" s="35"/>
      <c r="O100" s="131"/>
      <c r="P100" s="104"/>
      <c r="Q100" s="273"/>
      <c r="R100" s="273"/>
      <c r="S100" s="273"/>
      <c r="T100" s="273"/>
    </row>
    <row r="101" spans="1:20">
      <c r="A101" s="273"/>
      <c r="B101" s="35"/>
      <c r="C101" s="35"/>
      <c r="D101" s="35"/>
      <c r="E101" s="35"/>
      <c r="F101" s="35"/>
      <c r="G101" s="35"/>
      <c r="H101" s="35"/>
      <c r="I101" s="35"/>
      <c r="J101" s="35"/>
      <c r="K101" s="65"/>
      <c r="L101" s="35"/>
      <c r="M101" s="35"/>
      <c r="N101" s="35"/>
      <c r="O101" s="131"/>
      <c r="P101" s="104"/>
      <c r="Q101" s="273"/>
      <c r="R101" s="273"/>
      <c r="S101" s="273"/>
      <c r="T101" s="273"/>
    </row>
    <row r="102" spans="1:20">
      <c r="A102" s="273"/>
      <c r="B102" s="106" t="s">
        <v>212</v>
      </c>
      <c r="C102" s="106"/>
      <c r="D102" s="106"/>
      <c r="E102" s="106"/>
      <c r="F102" s="35"/>
      <c r="G102" s="35"/>
      <c r="H102" s="106"/>
      <c r="I102" s="125">
        <f>I83-I100</f>
        <v>0</v>
      </c>
      <c r="J102" s="106"/>
      <c r="K102" s="126"/>
      <c r="L102" s="35"/>
      <c r="M102" s="35"/>
      <c r="N102" s="35"/>
      <c r="O102" s="131"/>
      <c r="P102" s="104"/>
      <c r="Q102" s="273"/>
      <c r="R102" s="273"/>
      <c r="S102" s="273"/>
      <c r="T102" s="273"/>
    </row>
    <row r="103" spans="1:20">
      <c r="A103" s="273"/>
      <c r="B103" s="106"/>
      <c r="C103" s="106"/>
      <c r="D103" s="106"/>
      <c r="E103" s="106"/>
      <c r="F103" s="106"/>
      <c r="G103" s="106"/>
      <c r="H103" s="106"/>
      <c r="I103" s="106"/>
      <c r="J103" s="106"/>
      <c r="K103" s="106"/>
      <c r="L103" s="35"/>
      <c r="M103" s="35"/>
      <c r="N103" s="35"/>
      <c r="O103" s="131"/>
      <c r="P103" s="104"/>
      <c r="Q103" s="273"/>
      <c r="R103" s="273"/>
      <c r="S103" s="273"/>
      <c r="T103" s="273"/>
    </row>
    <row r="104" spans="1:20">
      <c r="A104" s="273"/>
      <c r="B104" s="111"/>
      <c r="C104" s="106"/>
      <c r="D104" s="106"/>
      <c r="E104" s="106"/>
      <c r="F104" s="106"/>
      <c r="G104" s="65"/>
      <c r="H104" s="65"/>
      <c r="I104" s="65"/>
      <c r="J104" s="127"/>
      <c r="K104" s="65"/>
      <c r="L104" s="35"/>
      <c r="M104" s="35"/>
      <c r="N104" s="35"/>
      <c r="O104" s="131"/>
      <c r="P104" s="104"/>
      <c r="Q104" s="273"/>
      <c r="R104" s="273"/>
      <c r="S104" s="273"/>
      <c r="T104" s="273"/>
    </row>
    <row r="105" spans="1:20">
      <c r="A105" s="273"/>
      <c r="B105" s="35"/>
      <c r="C105" s="35"/>
      <c r="D105" s="114"/>
      <c r="E105" s="35"/>
      <c r="F105" s="35"/>
      <c r="G105" s="35"/>
      <c r="H105" s="47"/>
      <c r="I105" s="47"/>
      <c r="J105" s="51"/>
      <c r="K105" s="39"/>
      <c r="L105" s="48"/>
      <c r="M105" s="48"/>
      <c r="N105" s="51"/>
      <c r="O105" s="131"/>
      <c r="P105" s="104"/>
      <c r="Q105" s="273"/>
      <c r="R105" s="273"/>
      <c r="S105" s="273"/>
      <c r="T105" s="273"/>
    </row>
    <row r="106" spans="1:20">
      <c r="A106" s="273"/>
      <c r="B106" s="133" t="s">
        <v>100</v>
      </c>
      <c r="C106" s="133"/>
      <c r="D106" s="133"/>
      <c r="E106" s="133"/>
      <c r="F106" s="35"/>
      <c r="G106" s="35"/>
      <c r="H106" s="48"/>
      <c r="I106" s="47"/>
      <c r="J106" s="48"/>
      <c r="K106" s="51"/>
      <c r="L106" s="48"/>
      <c r="M106" s="48"/>
      <c r="N106" s="51"/>
      <c r="O106" s="131"/>
      <c r="P106" s="104"/>
      <c r="Q106" s="273"/>
      <c r="R106" s="273"/>
      <c r="S106" s="273"/>
      <c r="T106" s="273"/>
    </row>
    <row r="107" spans="1:20">
      <c r="A107" s="273"/>
      <c r="B107" s="35" t="s">
        <v>101</v>
      </c>
      <c r="C107" s="35"/>
      <c r="D107" s="35"/>
      <c r="E107" s="35"/>
      <c r="F107" s="35"/>
      <c r="G107" s="35"/>
      <c r="H107" s="39"/>
      <c r="I107" s="85">
        <f>G27-G34</f>
        <v>0</v>
      </c>
      <c r="J107" s="35"/>
      <c r="K107" s="35"/>
      <c r="L107" s="35"/>
      <c r="M107" s="35"/>
      <c r="N107" s="35"/>
      <c r="O107" s="131"/>
      <c r="P107" s="104"/>
      <c r="Q107" s="273"/>
      <c r="R107" s="273"/>
      <c r="S107" s="273"/>
      <c r="T107" s="273"/>
    </row>
    <row r="108" spans="1:20">
      <c r="A108" s="273"/>
      <c r="B108" s="251" t="s">
        <v>221</v>
      </c>
      <c r="C108" s="35"/>
      <c r="D108" s="348" t="s">
        <v>213</v>
      </c>
      <c r="E108" s="348"/>
      <c r="F108" s="348"/>
      <c r="G108" s="348"/>
      <c r="H108" s="348"/>
      <c r="I108" s="124"/>
      <c r="J108" s="54"/>
      <c r="K108" s="54"/>
      <c r="L108" s="166"/>
      <c r="M108" s="54"/>
      <c r="N108" s="54"/>
      <c r="O108" s="131"/>
      <c r="P108" s="104"/>
      <c r="Q108" s="273"/>
      <c r="R108" s="273"/>
      <c r="S108" s="273"/>
      <c r="T108" s="273"/>
    </row>
    <row r="109" spans="1:20">
      <c r="A109" s="273"/>
      <c r="B109" s="35" t="s">
        <v>214</v>
      </c>
      <c r="C109" s="35"/>
      <c r="D109" s="35"/>
      <c r="E109" s="346" t="s">
        <v>215</v>
      </c>
      <c r="F109" s="346"/>
      <c r="G109" s="346"/>
      <c r="H109" s="346"/>
      <c r="I109" s="117"/>
      <c r="J109" s="35"/>
      <c r="K109" s="55"/>
      <c r="L109" s="35"/>
      <c r="M109" s="35"/>
      <c r="N109" s="35"/>
      <c r="O109" s="131"/>
      <c r="P109" s="104"/>
      <c r="Q109" s="273"/>
      <c r="R109" s="273"/>
      <c r="S109" s="273"/>
      <c r="T109" s="273"/>
    </row>
    <row r="110" spans="1:20">
      <c r="A110" s="273"/>
      <c r="B110" s="35" t="s">
        <v>155</v>
      </c>
      <c r="C110" s="35"/>
      <c r="D110" s="35"/>
      <c r="E110" s="251"/>
      <c r="F110" s="251"/>
      <c r="G110" s="251"/>
      <c r="H110" s="255"/>
      <c r="I110" s="85">
        <f>IF(I107=0, 0, -PMT((((I108/2)+1)^(1/6))-1, I109*12, I107, 0, 0))</f>
        <v>0</v>
      </c>
      <c r="J110" s="35"/>
      <c r="K110" s="165"/>
      <c r="L110" s="35"/>
      <c r="M110" s="35"/>
      <c r="N110" s="35"/>
      <c r="O110" s="131"/>
      <c r="P110" s="104"/>
      <c r="Q110" s="273"/>
      <c r="R110" s="273"/>
      <c r="S110" s="273"/>
      <c r="T110" s="273"/>
    </row>
    <row r="111" spans="1:20">
      <c r="A111" s="273"/>
      <c r="B111" s="35" t="s">
        <v>156</v>
      </c>
      <c r="C111" s="35"/>
      <c r="D111" s="35"/>
      <c r="E111" s="251"/>
      <c r="F111" s="251"/>
      <c r="G111" s="251"/>
      <c r="H111" s="255"/>
      <c r="I111" s="85">
        <f>I110*12</f>
        <v>0</v>
      </c>
      <c r="J111" s="35"/>
      <c r="K111" s="35"/>
      <c r="L111" s="35"/>
      <c r="M111" s="35"/>
      <c r="N111" s="35"/>
      <c r="O111" s="131"/>
      <c r="P111" s="104"/>
      <c r="Q111" s="273"/>
      <c r="R111" s="273"/>
      <c r="S111" s="273"/>
      <c r="T111" s="273"/>
    </row>
    <row r="112" spans="1:20" ht="15.5">
      <c r="A112" s="273"/>
      <c r="B112" s="35" t="s">
        <v>99</v>
      </c>
      <c r="C112" s="35"/>
      <c r="D112" s="35"/>
      <c r="E112" s="346" t="s">
        <v>283</v>
      </c>
      <c r="F112" s="346"/>
      <c r="G112" s="346"/>
      <c r="H112" s="346"/>
      <c r="I112" s="136">
        <f>IF(I111=0, 0, ROUND(I102/I111,2))</f>
        <v>0</v>
      </c>
      <c r="J112" s="347"/>
      <c r="K112" s="347"/>
      <c r="L112" s="38"/>
      <c r="M112" s="38"/>
      <c r="N112" s="38"/>
      <c r="O112" s="131"/>
      <c r="P112" s="104"/>
      <c r="Q112" s="273"/>
      <c r="R112" s="273"/>
      <c r="S112" s="273"/>
      <c r="T112" s="273"/>
    </row>
    <row r="113" spans="1:20" s="42" customFormat="1" ht="12" customHeight="1">
      <c r="A113" s="273"/>
      <c r="B113" s="172" t="s">
        <v>191</v>
      </c>
      <c r="C113" s="172"/>
      <c r="D113" s="172"/>
      <c r="E113" s="172"/>
      <c r="F113" s="35"/>
      <c r="G113" s="35"/>
      <c r="H113" s="38"/>
      <c r="I113" s="145" t="str">
        <f>IF(I112=1.1,"Oui",IF(I112&gt;1.1,"Oui","Non"))</f>
        <v>Non</v>
      </c>
      <c r="J113" s="55"/>
      <c r="K113" s="55"/>
      <c r="L113" s="55"/>
      <c r="M113" s="55"/>
      <c r="N113" s="55"/>
      <c r="O113" s="131"/>
      <c r="P113" s="104"/>
      <c r="Q113" s="273"/>
      <c r="R113" s="273"/>
      <c r="S113" s="273"/>
      <c r="T113" s="273"/>
    </row>
    <row r="114" spans="1:20">
      <c r="A114" s="42"/>
      <c r="B114" s="39"/>
      <c r="C114" s="39"/>
      <c r="D114" s="39"/>
      <c r="E114" s="39"/>
      <c r="F114" s="39"/>
      <c r="G114" s="39"/>
      <c r="H114" s="38"/>
      <c r="I114" s="41"/>
      <c r="J114" s="38"/>
      <c r="K114" s="38"/>
      <c r="L114" s="38"/>
      <c r="M114" s="38"/>
      <c r="N114" s="38"/>
      <c r="O114" s="129"/>
      <c r="P114" s="104"/>
      <c r="Q114" s="42"/>
      <c r="R114" s="42"/>
      <c r="S114" s="42"/>
      <c r="T114" s="42"/>
    </row>
    <row r="115" spans="1:20">
      <c r="A115" s="273"/>
      <c r="B115" s="35" t="s">
        <v>101</v>
      </c>
      <c r="C115" s="35"/>
      <c r="D115" s="35"/>
      <c r="E115" s="35"/>
      <c r="F115" s="35"/>
      <c r="G115" s="39"/>
      <c r="H115" s="38"/>
      <c r="I115" s="52">
        <f>G27-G34</f>
        <v>0</v>
      </c>
      <c r="J115" s="55"/>
      <c r="K115" s="55"/>
      <c r="L115" s="55"/>
      <c r="M115" s="55"/>
      <c r="N115" s="55"/>
      <c r="O115" s="131"/>
      <c r="P115" s="104"/>
      <c r="Q115" s="273"/>
      <c r="R115" s="273"/>
      <c r="S115" s="273"/>
      <c r="T115" s="273"/>
    </row>
    <row r="116" spans="1:20">
      <c r="A116" s="273"/>
      <c r="B116" s="35" t="s">
        <v>216</v>
      </c>
      <c r="C116" s="35"/>
      <c r="D116" s="35"/>
      <c r="E116" s="35"/>
      <c r="F116" s="35"/>
      <c r="G116" s="35"/>
      <c r="H116" s="114"/>
      <c r="I116" s="52">
        <f>G27</f>
        <v>0</v>
      </c>
      <c r="J116" s="114"/>
      <c r="K116" s="114"/>
      <c r="L116" s="35"/>
      <c r="M116" s="35"/>
      <c r="N116" s="35"/>
      <c r="O116" s="131"/>
      <c r="P116" s="104"/>
      <c r="Q116" s="273"/>
      <c r="R116" s="273"/>
      <c r="S116" s="273"/>
      <c r="T116" s="273"/>
    </row>
    <row r="117" spans="1:20">
      <c r="A117" s="273"/>
      <c r="B117" s="35" t="s">
        <v>102</v>
      </c>
      <c r="C117" s="35"/>
      <c r="D117" s="35"/>
      <c r="E117" s="123"/>
      <c r="F117" s="123"/>
      <c r="G117" s="123"/>
      <c r="H117" s="114"/>
      <c r="I117" s="315">
        <f>IF(I116=0, 0, I107/I116)</f>
        <v>0</v>
      </c>
      <c r="J117" s="114"/>
      <c r="K117" s="114"/>
      <c r="L117" s="123"/>
      <c r="M117" s="35"/>
      <c r="N117" s="35"/>
      <c r="O117" s="131"/>
      <c r="P117" s="104"/>
      <c r="Q117" s="273"/>
      <c r="R117" s="273"/>
      <c r="S117" s="273"/>
      <c r="T117" s="273"/>
    </row>
    <row r="118" spans="1:20">
      <c r="A118" s="273"/>
      <c r="B118" s="39" t="s">
        <v>217</v>
      </c>
      <c r="C118" s="39"/>
      <c r="D118" s="39"/>
      <c r="E118" s="39"/>
      <c r="F118" s="35"/>
      <c r="G118" s="40"/>
      <c r="H118" s="41"/>
      <c r="I118" s="314">
        <f>IF('Admissibilité et rés. sociaux'!H88&lt;'Admissibilité et rés. sociaux'!G96,90%,IF('Admissibilité et rés. sociaux'!H88&gt;'Admissibilité et rés. sociaux'!H96,100%,95%))</f>
        <v>0.9</v>
      </c>
      <c r="J118" s="35"/>
      <c r="K118" s="65"/>
      <c r="L118" s="35"/>
      <c r="M118" s="35"/>
      <c r="N118" s="35"/>
      <c r="O118" s="131"/>
      <c r="P118" s="104"/>
      <c r="Q118" s="273"/>
      <c r="R118" s="273"/>
      <c r="S118" s="273"/>
      <c r="T118" s="273"/>
    </row>
    <row r="119" spans="1:20" s="42" customFormat="1">
      <c r="A119" s="273"/>
      <c r="B119" s="172" t="s">
        <v>190</v>
      </c>
      <c r="C119" s="172"/>
      <c r="D119" s="172"/>
      <c r="E119" s="172"/>
      <c r="F119" s="35"/>
      <c r="G119" s="40"/>
      <c r="H119" s="40"/>
      <c r="I119" s="203" t="str">
        <f>IF(I118=I117,"Oui", IF(I117&lt;I118,"Oui","Non"))</f>
        <v>Oui</v>
      </c>
      <c r="J119" s="35"/>
      <c r="K119" s="65"/>
      <c r="L119" s="35"/>
      <c r="M119" s="35"/>
      <c r="N119" s="35"/>
      <c r="O119" s="131"/>
      <c r="P119" s="104"/>
      <c r="Q119" s="273"/>
      <c r="R119" s="273"/>
      <c r="S119" s="273"/>
      <c r="T119" s="273"/>
    </row>
    <row r="120" spans="1:20">
      <c r="A120" s="42"/>
      <c r="B120" s="39"/>
      <c r="C120" s="39"/>
      <c r="D120" s="39"/>
      <c r="E120" s="39"/>
      <c r="F120" s="39"/>
      <c r="G120" s="40"/>
      <c r="H120" s="40"/>
      <c r="I120" s="261"/>
      <c r="J120" s="39"/>
      <c r="K120" s="79"/>
      <c r="L120" s="39"/>
      <c r="M120" s="39"/>
      <c r="N120" s="39"/>
      <c r="O120" s="129"/>
      <c r="P120" s="104"/>
      <c r="Q120" s="42"/>
      <c r="R120" s="42"/>
      <c r="S120" s="42"/>
      <c r="T120" s="42"/>
    </row>
    <row r="121" spans="1:20">
      <c r="A121" s="273"/>
      <c r="B121" s="133" t="s">
        <v>146</v>
      </c>
      <c r="C121" s="133"/>
      <c r="D121" s="133"/>
      <c r="E121" s="133"/>
      <c r="F121" s="35"/>
      <c r="G121" s="35"/>
      <c r="H121" s="48"/>
      <c r="I121" s="47"/>
      <c r="J121" s="48"/>
      <c r="K121" s="51"/>
      <c r="L121" s="48"/>
      <c r="M121" s="48"/>
      <c r="N121" s="51"/>
      <c r="O121" s="131"/>
      <c r="P121" s="104"/>
      <c r="Q121" s="273"/>
      <c r="R121" s="273"/>
      <c r="S121" s="273"/>
      <c r="T121" s="273"/>
    </row>
    <row r="122" spans="1:20">
      <c r="A122" s="273"/>
      <c r="B122" s="255" t="s">
        <v>273</v>
      </c>
      <c r="C122" s="39"/>
      <c r="D122" s="39"/>
      <c r="E122" s="39"/>
      <c r="F122" s="35"/>
      <c r="G122" s="35"/>
      <c r="H122" s="35"/>
      <c r="I122" s="193">
        <f>IF(((1-I118)-(1-I117))&lt;0,0,((1-I118)-(1-I117))*G27)</f>
        <v>0</v>
      </c>
      <c r="J122" s="65"/>
      <c r="K122" s="65"/>
      <c r="L122" s="35"/>
      <c r="M122" s="35"/>
      <c r="N122" s="35"/>
      <c r="O122" s="131"/>
      <c r="P122" s="104"/>
      <c r="Q122" s="273"/>
      <c r="R122" s="273"/>
      <c r="S122" s="273"/>
      <c r="T122" s="273"/>
    </row>
    <row r="123" spans="1:20">
      <c r="A123" s="273"/>
      <c r="B123" s="255" t="s">
        <v>274</v>
      </c>
      <c r="C123" s="39"/>
      <c r="D123" s="39"/>
      <c r="E123" s="39"/>
      <c r="F123" s="235"/>
      <c r="G123" s="35"/>
      <c r="H123" s="35"/>
      <c r="I123" s="193" t="e">
        <f>IF(I107&gt;C146,I107-C146,0)</f>
        <v>#DIV/0!</v>
      </c>
      <c r="J123" s="35"/>
      <c r="K123" s="65"/>
      <c r="L123" s="35"/>
      <c r="M123" s="35"/>
      <c r="N123" s="35"/>
      <c r="O123" s="131"/>
      <c r="P123" s="104"/>
      <c r="Q123" s="273"/>
      <c r="R123" s="273"/>
      <c r="S123" s="273"/>
      <c r="T123" s="273"/>
    </row>
    <row r="124" spans="1:20">
      <c r="A124" s="273"/>
      <c r="B124" s="251" t="s">
        <v>275</v>
      </c>
      <c r="C124" s="35"/>
      <c r="D124" s="35"/>
      <c r="E124" s="35"/>
      <c r="F124" s="35"/>
      <c r="G124" s="35"/>
      <c r="H124" s="35"/>
      <c r="I124" s="194" t="e">
        <f>IF(I122&gt;I123,I122,I123)</f>
        <v>#DIV/0!</v>
      </c>
      <c r="J124" s="35"/>
      <c r="K124" s="162" t="s">
        <v>103</v>
      </c>
      <c r="L124" s="163"/>
      <c r="M124" s="35"/>
      <c r="N124" s="35"/>
      <c r="O124" s="131"/>
      <c r="P124" s="104"/>
      <c r="Q124" s="273"/>
      <c r="R124" s="273"/>
      <c r="S124" s="273"/>
      <c r="T124" s="273"/>
    </row>
    <row r="125" spans="1:20">
      <c r="A125" s="273"/>
      <c r="B125" s="289" t="s">
        <v>282</v>
      </c>
      <c r="C125" s="35"/>
      <c r="D125" s="35"/>
      <c r="E125" s="35"/>
      <c r="F125" s="35"/>
      <c r="G125" s="55"/>
      <c r="H125" s="35"/>
      <c r="I125" s="117"/>
      <c r="J125" s="35"/>
      <c r="K125" s="89"/>
      <c r="L125" s="35"/>
      <c r="M125" s="35"/>
      <c r="N125" s="35"/>
      <c r="O125" s="131"/>
      <c r="P125" s="104"/>
      <c r="Q125" s="273"/>
      <c r="R125" s="273"/>
      <c r="S125" s="273"/>
      <c r="T125" s="273"/>
    </row>
    <row r="126" spans="1:20">
      <c r="A126" s="273"/>
      <c r="B126" s="35"/>
      <c r="C126" s="35"/>
      <c r="D126" s="35"/>
      <c r="E126" s="35"/>
      <c r="F126" s="35"/>
      <c r="G126" s="35"/>
      <c r="H126" s="35"/>
      <c r="I126" s="35"/>
      <c r="J126" s="35"/>
      <c r="K126" s="35"/>
      <c r="L126" s="35"/>
      <c r="M126" s="35"/>
      <c r="N126" s="35"/>
      <c r="O126" s="131"/>
      <c r="P126" s="104"/>
      <c r="Q126" s="273"/>
      <c r="R126" s="273"/>
      <c r="S126" s="273"/>
      <c r="T126" s="273"/>
    </row>
    <row r="127" spans="1:20">
      <c r="A127" s="273"/>
      <c r="B127" s="35"/>
      <c r="C127" s="35"/>
      <c r="D127" s="35"/>
      <c r="E127" s="35"/>
      <c r="F127" s="35"/>
      <c r="G127" s="35"/>
      <c r="H127" s="35"/>
      <c r="I127" s="202"/>
      <c r="J127" s="35"/>
      <c r="K127" s="65"/>
      <c r="L127" s="35"/>
      <c r="M127" s="35"/>
      <c r="N127" s="35"/>
      <c r="O127" s="131"/>
      <c r="P127" s="104"/>
      <c r="Q127" s="273"/>
      <c r="R127" s="273"/>
      <c r="S127" s="273"/>
      <c r="T127" s="273"/>
    </row>
    <row r="128" spans="1:20">
      <c r="A128" s="273"/>
      <c r="B128" s="35"/>
      <c r="C128" s="35"/>
      <c r="D128" s="35"/>
      <c r="E128" s="35"/>
      <c r="F128" s="35"/>
      <c r="G128" s="35"/>
      <c r="H128" s="35"/>
      <c r="I128" s="204"/>
      <c r="J128" s="35"/>
      <c r="K128" s="65"/>
      <c r="L128" s="35"/>
      <c r="M128" s="35"/>
      <c r="N128" s="35"/>
      <c r="O128" s="131"/>
      <c r="P128" s="104"/>
      <c r="Q128" s="273"/>
      <c r="R128" s="273"/>
      <c r="S128" s="273"/>
      <c r="T128" s="273"/>
    </row>
    <row r="129" spans="1:20">
      <c r="A129" s="273"/>
      <c r="B129" s="106"/>
      <c r="C129" s="35"/>
      <c r="D129" s="35"/>
      <c r="E129" s="35"/>
      <c r="F129" s="35"/>
      <c r="G129" s="35"/>
      <c r="H129" s="35"/>
      <c r="I129" s="238"/>
      <c r="J129" s="35"/>
      <c r="K129" s="258"/>
      <c r="L129" s="39"/>
      <c r="M129" s="35"/>
      <c r="N129" s="35"/>
      <c r="O129" s="131"/>
      <c r="P129" s="104"/>
      <c r="Q129" s="273"/>
      <c r="R129" s="273"/>
      <c r="S129" s="273"/>
      <c r="T129" s="273"/>
    </row>
    <row r="130" spans="1:20" ht="6" customHeight="1">
      <c r="A130" s="273"/>
      <c r="B130" s="111"/>
      <c r="C130" s="35"/>
      <c r="D130" s="35"/>
      <c r="E130" s="35"/>
      <c r="F130" s="35"/>
      <c r="G130" s="35"/>
      <c r="H130" s="35"/>
      <c r="I130" s="65"/>
      <c r="J130" s="35"/>
      <c r="K130" s="65"/>
      <c r="L130" s="35"/>
      <c r="M130" s="35"/>
      <c r="N130" s="35"/>
      <c r="O130" s="131"/>
      <c r="P130" s="104"/>
      <c r="Q130" s="273"/>
      <c r="R130" s="273"/>
      <c r="S130" s="273"/>
      <c r="T130" s="273"/>
    </row>
    <row r="131" spans="1:20" ht="6.75" customHeight="1">
      <c r="A131" s="273"/>
      <c r="B131" s="35"/>
      <c r="C131" s="35"/>
      <c r="D131" s="35"/>
      <c r="E131" s="35"/>
      <c r="F131" s="35"/>
      <c r="G131" s="35"/>
      <c r="H131" s="35"/>
      <c r="I131" s="65"/>
      <c r="J131" s="35"/>
      <c r="K131" s="65"/>
      <c r="L131" s="35"/>
      <c r="M131" s="35"/>
      <c r="N131" s="35"/>
      <c r="O131" s="131"/>
      <c r="P131" s="104"/>
      <c r="Q131" s="273"/>
      <c r="R131" s="273"/>
      <c r="S131" s="273"/>
      <c r="T131" s="273"/>
    </row>
    <row r="132" spans="1:20" s="42" customFormat="1">
      <c r="A132" s="138"/>
      <c r="B132" s="128"/>
      <c r="C132" s="128"/>
      <c r="D132" s="128"/>
      <c r="E132" s="128"/>
      <c r="F132" s="128"/>
      <c r="G132" s="128"/>
      <c r="H132" s="128"/>
      <c r="I132" s="128"/>
      <c r="J132" s="128"/>
      <c r="K132" s="128"/>
      <c r="L132" s="128"/>
      <c r="M132" s="128"/>
      <c r="N132" s="128"/>
      <c r="O132" s="131"/>
      <c r="P132" s="104"/>
      <c r="Q132" s="273"/>
      <c r="R132" s="273"/>
      <c r="S132" s="273"/>
      <c r="T132" s="273"/>
    </row>
    <row r="133" spans="1:20">
      <c r="A133" s="42"/>
      <c r="B133" s="129"/>
      <c r="C133" s="129"/>
      <c r="D133" s="129"/>
      <c r="E133" s="129"/>
      <c r="F133" s="129"/>
      <c r="G133" s="129"/>
      <c r="H133" s="129"/>
      <c r="I133" s="129"/>
      <c r="J133" s="129"/>
      <c r="K133" s="129"/>
      <c r="L133" s="129"/>
      <c r="M133" s="129"/>
      <c r="N133" s="129"/>
      <c r="O133" s="129"/>
      <c r="P133" s="104"/>
      <c r="Q133" s="42"/>
      <c r="R133" s="42"/>
      <c r="S133" s="42"/>
      <c r="T133" s="42"/>
    </row>
    <row r="134" spans="1:20">
      <c r="A134" s="164"/>
      <c r="B134" s="164"/>
      <c r="C134" s="164"/>
      <c r="D134" s="273"/>
      <c r="E134" s="273"/>
      <c r="F134" s="273"/>
      <c r="G134" s="273"/>
      <c r="H134" s="273"/>
      <c r="J134" s="273"/>
      <c r="L134" s="273"/>
      <c r="M134" s="273"/>
      <c r="N134" s="273"/>
      <c r="O134" s="273"/>
      <c r="Q134" s="273"/>
      <c r="R134" s="273"/>
      <c r="S134" s="273"/>
      <c r="T134" s="273"/>
    </row>
    <row r="135" spans="1:20">
      <c r="A135" s="164"/>
      <c r="B135" s="164"/>
      <c r="C135" s="164"/>
      <c r="D135" s="273"/>
      <c r="E135" s="273"/>
      <c r="F135" s="273"/>
      <c r="G135" s="273"/>
      <c r="H135" s="273"/>
      <c r="J135" s="273"/>
      <c r="L135" s="273"/>
      <c r="M135" s="273"/>
      <c r="N135" s="273"/>
      <c r="O135" s="273"/>
      <c r="Q135" s="273"/>
      <c r="R135" s="273"/>
      <c r="S135" s="273"/>
      <c r="T135" s="273"/>
    </row>
    <row r="136" spans="1:20">
      <c r="A136" s="273"/>
      <c r="B136" s="273"/>
      <c r="C136" s="273"/>
      <c r="D136" s="273"/>
      <c r="E136" s="273"/>
      <c r="F136" s="273"/>
      <c r="G136" s="273"/>
      <c r="H136" s="273"/>
      <c r="J136" s="273"/>
      <c r="L136" s="273"/>
      <c r="M136" s="273"/>
      <c r="N136" s="273"/>
      <c r="O136" s="273"/>
      <c r="Q136" s="273"/>
      <c r="R136" s="273"/>
      <c r="S136" s="273"/>
      <c r="T136" s="273"/>
    </row>
    <row r="137" spans="1:20">
      <c r="A137" s="273"/>
      <c r="B137" s="273"/>
      <c r="C137" s="273"/>
      <c r="D137" s="273"/>
      <c r="E137" s="273"/>
      <c r="F137" s="273"/>
      <c r="G137" s="273"/>
      <c r="H137" s="273"/>
      <c r="J137" s="273"/>
      <c r="L137" s="273"/>
      <c r="M137" s="273"/>
      <c r="N137" s="273"/>
      <c r="O137" s="273"/>
      <c r="Q137" s="273"/>
      <c r="R137" s="273"/>
      <c r="S137" s="273"/>
      <c r="T137" s="273"/>
    </row>
    <row r="138" spans="1:20">
      <c r="A138" s="273"/>
      <c r="B138" s="273"/>
      <c r="C138" s="273"/>
      <c r="D138" s="273"/>
      <c r="E138" s="273"/>
      <c r="F138" s="273"/>
      <c r="G138" s="273"/>
      <c r="H138" s="273"/>
      <c r="J138" s="273"/>
      <c r="L138" s="273"/>
      <c r="M138" s="273"/>
      <c r="N138" s="273"/>
      <c r="O138" s="273"/>
      <c r="Q138" s="273"/>
      <c r="R138" s="273"/>
      <c r="S138" s="273"/>
      <c r="T138" s="273"/>
    </row>
    <row r="139" spans="1:20">
      <c r="A139" s="169"/>
      <c r="B139" s="169"/>
      <c r="C139" s="169"/>
      <c r="D139" s="273"/>
      <c r="E139" s="273"/>
      <c r="F139" s="273"/>
      <c r="G139" s="273"/>
      <c r="H139" s="273"/>
      <c r="J139" s="273"/>
      <c r="L139" s="273"/>
      <c r="M139" s="273"/>
      <c r="N139" s="273"/>
      <c r="O139" s="273"/>
      <c r="Q139" s="273"/>
      <c r="R139" s="273"/>
      <c r="S139" s="273"/>
      <c r="T139" s="273"/>
    </row>
    <row r="141" spans="1:20" s="273" customFormat="1" ht="15.75" customHeight="1">
      <c r="I141"/>
      <c r="K141"/>
      <c r="P141" s="42"/>
    </row>
    <row r="142" spans="1:20" ht="15" hidden="1" customHeight="1">
      <c r="A142" s="308" t="s">
        <v>104</v>
      </c>
      <c r="B142" s="308"/>
      <c r="C142" s="308"/>
      <c r="D142" s="308"/>
      <c r="E142" s="308"/>
    </row>
    <row r="143" spans="1:20" hidden="1">
      <c r="A143" s="290"/>
      <c r="B143" s="290" t="s">
        <v>222</v>
      </c>
      <c r="C143" s="291">
        <f>I102/(12*1.1)</f>
        <v>0</v>
      </c>
      <c r="D143" s="290"/>
      <c r="E143" s="290"/>
    </row>
    <row r="144" spans="1:20" hidden="1">
      <c r="A144" s="290"/>
      <c r="B144" s="290" t="s">
        <v>223</v>
      </c>
      <c r="C144" s="292">
        <f>(((I108/2)+1)^(1/6))-1</f>
        <v>0</v>
      </c>
      <c r="D144" s="290"/>
      <c r="E144" s="290"/>
    </row>
    <row r="145" spans="1:16" hidden="1">
      <c r="A145" s="290"/>
      <c r="B145" s="290" t="s">
        <v>224</v>
      </c>
      <c r="C145" s="308">
        <f>I109*12</f>
        <v>0</v>
      </c>
      <c r="D145" s="290"/>
      <c r="E145" s="290"/>
      <c r="I145" s="1"/>
      <c r="P145" s="1"/>
    </row>
    <row r="146" spans="1:16" hidden="1">
      <c r="A146" s="290"/>
      <c r="B146" s="290" t="s">
        <v>225</v>
      </c>
      <c r="C146" s="336" t="e">
        <f>C143*(((1+C144)^C145)-1)/(C144*((1+C144)^C145))</f>
        <v>#DIV/0!</v>
      </c>
      <c r="D146" s="290"/>
      <c r="E146" s="290"/>
      <c r="I146" s="1"/>
      <c r="K146" s="1"/>
      <c r="P146" s="1"/>
    </row>
    <row r="147" spans="1:16">
      <c r="K147" s="1"/>
    </row>
  </sheetData>
  <sheetProtection algorithmName="SHA-512" hashValue="RmwKiNZLxxdW8BLmX2j3HjpNF1FMtFcVOHuxQw+8yokoKn6k/nnxz9RWUEhA0Wwfjz2xgTPzMGK06YViZ0kk3A==" saltValue="nl8SqBqjYiELc3mQqopfpg==" spinCount="100000" sheet="1" selectLockedCells="1"/>
  <mergeCells count="11">
    <mergeCell ref="H38:H40"/>
    <mergeCell ref="G38:G40"/>
    <mergeCell ref="I38:I40"/>
    <mergeCell ref="E112:H112"/>
    <mergeCell ref="J112:K112"/>
    <mergeCell ref="D108:H108"/>
    <mergeCell ref="K46:M46"/>
    <mergeCell ref="F63:H63"/>
    <mergeCell ref="E98:G98"/>
    <mergeCell ref="E99:G99"/>
    <mergeCell ref="E109:H109"/>
  </mergeCells>
  <hyperlinks>
    <hyperlink ref="K46" r:id="rId1" xr:uid="{00000000-0004-0000-0300-000000000000}"/>
    <hyperlink ref="K46:M46" r:id="rId2" display="http://www.statcan.gc.ca/tables-tableaux/sum-som/l02/cst01/famil107a-fra.htm" xr:uid="{00000000-0004-0000-0300-000001000000}"/>
  </hyperlinks>
  <pageMargins left="0.31496062992125984" right="0.31496062992125984" top="0.51181102362204722" bottom="0.82677165354330717" header="0.31496062992125984" footer="0.31496062992125984"/>
  <pageSetup scale="49" fitToHeight="0" orientation="portrait" r:id="rId3"/>
  <headerFooter>
    <oddFooter>Page &amp;P of &amp;N</oddFooter>
  </headerFooter>
  <rowBreaks count="1" manualBreakCount="1">
    <brk id="82"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101" r:id="rId6" name="Button 5">
              <controlPr defaultSize="0" print="0" autoFill="0" autoPict="0" macro="[1]!gotoSheet_NonResidential">
                <anchor moveWithCells="1" sizeWithCells="1">
                  <from>
                    <xdr:col>1</xdr:col>
                    <xdr:colOff>1892300</xdr:colOff>
                    <xdr:row>133</xdr:row>
                    <xdr:rowOff>25400</xdr:rowOff>
                  </from>
                  <to>
                    <xdr:col>2</xdr:col>
                    <xdr:colOff>304800</xdr:colOff>
                    <xdr:row>134</xdr:row>
                    <xdr:rowOff>177800</xdr:rowOff>
                  </to>
                </anchor>
              </controlPr>
            </control>
          </mc:Choice>
        </mc:AlternateContent>
        <mc:AlternateContent xmlns:mc="http://schemas.openxmlformats.org/markup-compatibility/2006">
          <mc:Choice Requires="x14">
            <control shapeId="4102" r:id="rId7" name="Button 6">
              <controlPr defaultSize="0" print="0" autoFill="0" autoPict="0" macro="[1]!gotoSheet_ProjectBudget">
                <anchor moveWithCells="1" sizeWithCells="1">
                  <from>
                    <xdr:col>1</xdr:col>
                    <xdr:colOff>152400</xdr:colOff>
                    <xdr:row>133</xdr:row>
                    <xdr:rowOff>25400</xdr:rowOff>
                  </from>
                  <to>
                    <xdr:col>1</xdr:col>
                    <xdr:colOff>990600</xdr:colOff>
                    <xdr:row>134</xdr:row>
                    <xdr:rowOff>177800</xdr:rowOff>
                  </to>
                </anchor>
              </controlPr>
            </control>
          </mc:Choice>
        </mc:AlternateContent>
        <mc:AlternateContent xmlns:mc="http://schemas.openxmlformats.org/markup-compatibility/2006">
          <mc:Choice Requires="x14">
            <control shapeId="4103" r:id="rId8" name="Button 7">
              <controlPr defaultSize="0" print="0" autoFill="0" autoPict="0" macro="[1]!resetThisPage">
                <anchor moveWithCells="1" sizeWithCells="1">
                  <from>
                    <xdr:col>1</xdr:col>
                    <xdr:colOff>152400</xdr:colOff>
                    <xdr:row>137</xdr:row>
                    <xdr:rowOff>38100</xdr:rowOff>
                  </from>
                  <to>
                    <xdr:col>1</xdr:col>
                    <xdr:colOff>990600</xdr:colOff>
                    <xdr:row>138</xdr:row>
                    <xdr:rowOff>190500</xdr:rowOff>
                  </to>
                </anchor>
              </controlPr>
            </control>
          </mc:Choice>
        </mc:AlternateContent>
        <mc:AlternateContent xmlns:mc="http://schemas.openxmlformats.org/markup-compatibility/2006">
          <mc:Choice Requires="x14">
            <control shapeId="4104" r:id="rId9" name="Button 8">
              <controlPr defaultSize="0" print="0" autoFill="0" autoPict="0" macro="[1]!resetAll">
                <anchor moveWithCells="1" sizeWithCells="1">
                  <from>
                    <xdr:col>1</xdr:col>
                    <xdr:colOff>1943100</xdr:colOff>
                    <xdr:row>137</xdr:row>
                    <xdr:rowOff>38100</xdr:rowOff>
                  </from>
                  <to>
                    <xdr:col>2</xdr:col>
                    <xdr:colOff>342900</xdr:colOff>
                    <xdr:row>138</xdr:row>
                    <xdr:rowOff>177800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110"/>
  <sheetViews>
    <sheetView showGridLines="0" zoomScale="85" zoomScaleNormal="85" workbookViewId="0">
      <pane ySplit="12" topLeftCell="A13" activePane="bottomLeft" state="frozen"/>
      <selection activeCell="B23" sqref="B23"/>
      <selection pane="bottomLeft" activeCell="C45" sqref="C45"/>
    </sheetView>
  </sheetViews>
  <sheetFormatPr defaultColWidth="9.08984375" defaultRowHeight="14.5"/>
  <cols>
    <col min="1" max="1" width="2.6328125" customWidth="1"/>
    <col min="2" max="2" width="35.36328125" customWidth="1"/>
    <col min="3" max="3" width="25.36328125" customWidth="1"/>
    <col min="5" max="5" width="11.453125" customWidth="1"/>
    <col min="6" max="6" width="17.453125" customWidth="1"/>
    <col min="7" max="7" width="17.54296875" customWidth="1"/>
    <col min="8" max="8" width="3.08984375" customWidth="1"/>
    <col min="11" max="11" width="11.08984375" customWidth="1"/>
    <col min="12" max="12" width="12" customWidth="1"/>
    <col min="13" max="13" width="2.6328125" customWidth="1"/>
  </cols>
  <sheetData>
    <row r="1" spans="1:13">
      <c r="A1" s="156"/>
      <c r="B1" s="87" t="s">
        <v>35</v>
      </c>
      <c r="C1" s="87"/>
      <c r="D1" s="87"/>
      <c r="E1" s="88"/>
      <c r="F1" s="87"/>
      <c r="G1" s="87"/>
      <c r="H1" s="87"/>
      <c r="I1" s="87"/>
      <c r="J1" s="87"/>
      <c r="K1" s="87"/>
      <c r="L1" s="87"/>
      <c r="M1" s="157"/>
    </row>
    <row r="2" spans="1:13" ht="6" customHeight="1">
      <c r="A2" s="154"/>
      <c r="B2" s="154"/>
      <c r="C2" s="154"/>
      <c r="D2" s="154"/>
      <c r="E2" s="154"/>
      <c r="F2" s="154"/>
      <c r="G2" s="154"/>
      <c r="H2" s="159"/>
      <c r="I2" s="154"/>
      <c r="J2" s="154"/>
      <c r="K2" s="154"/>
      <c r="L2" s="154"/>
      <c r="M2" s="157"/>
    </row>
    <row r="3" spans="1:13">
      <c r="B3" t="s">
        <v>175</v>
      </c>
      <c r="C3" s="82">
        <f>IF(OR(('Portion résidentielle'!I111+'Portion non résidentielle'!G79)=0, ISERR(('Portion résidentielle'!I111+'Portion non résidentielle'!G79))), 0, ('Portion résidentielle'!I102+'Portion non résidentielle'!G71)/('Portion résidentielle'!I111+'Portion non résidentielle'!G79))</f>
        <v>0</v>
      </c>
      <c r="E3" s="155" t="s">
        <v>39</v>
      </c>
      <c r="F3" s="155"/>
      <c r="G3" s="86" t="str">
        <f>'Portion résidentielle'!G59</f>
        <v>Oui</v>
      </c>
      <c r="M3" s="157"/>
    </row>
    <row r="4" spans="1:13">
      <c r="B4" t="s">
        <v>176</v>
      </c>
      <c r="C4" s="318">
        <f>IF('Budget de l''ensemble'!E25=0, 0, ('Portion résidentielle'!I107+'Portion non résidentielle'!G75)/'Budget de l''ensemble'!E25)</f>
        <v>0</v>
      </c>
      <c r="E4" s="155" t="s">
        <v>37</v>
      </c>
      <c r="F4" s="155"/>
      <c r="G4" s="86" t="str">
        <f>'Portion résidentielle'!K52</f>
        <v>Non</v>
      </c>
      <c r="M4" s="157"/>
    </row>
    <row r="5" spans="1:13">
      <c r="B5" t="s">
        <v>36</v>
      </c>
      <c r="C5" s="158">
        <f>'Portion résidentielle'!I107+'Portion non résidentielle'!G75</f>
        <v>0</v>
      </c>
      <c r="E5" s="155" t="s">
        <v>38</v>
      </c>
      <c r="F5" s="155"/>
      <c r="G5" s="86" t="str">
        <f>'Portion résidentielle'!R58</f>
        <v>Non</v>
      </c>
      <c r="M5" s="157"/>
    </row>
    <row r="6" spans="1:13">
      <c r="E6" s="155" t="s">
        <v>40</v>
      </c>
      <c r="F6" s="155"/>
      <c r="G6" s="86" t="str">
        <f>'Portion résidentielle'!S58</f>
        <v>Non</v>
      </c>
      <c r="M6" s="157"/>
    </row>
    <row r="7" spans="1:13">
      <c r="B7" s="155" t="s">
        <v>177</v>
      </c>
      <c r="C7" s="86" t="str">
        <f>'Admissibilité et rés. sociaux'!G32</f>
        <v>Non</v>
      </c>
      <c r="D7" s="86"/>
      <c r="E7" s="155" t="s">
        <v>41</v>
      </c>
      <c r="F7" s="155"/>
      <c r="G7" s="86" t="str">
        <f>'Portion résidentielle'!T58</f>
        <v>Non</v>
      </c>
      <c r="M7" s="157"/>
    </row>
    <row r="8" spans="1:13" ht="3" customHeight="1">
      <c r="B8" s="154"/>
      <c r="C8" s="154"/>
      <c r="D8" s="154"/>
      <c r="E8" s="154"/>
      <c r="F8" s="154"/>
      <c r="G8" s="154"/>
      <c r="M8" s="157"/>
    </row>
    <row r="9" spans="1:13" ht="15" customHeight="1">
      <c r="B9" t="s">
        <v>42</v>
      </c>
      <c r="C9" t="str">
        <f>'Admissibilité et rés. sociaux'!H90</f>
        <v>RPC jusqu’à 90 %, portion résid.</v>
      </c>
      <c r="M9" s="157"/>
    </row>
    <row r="10" spans="1:13" ht="3" customHeight="1">
      <c r="A10" s="154"/>
      <c r="B10" s="154"/>
      <c r="C10" s="154"/>
      <c r="D10" s="154"/>
      <c r="E10" s="154"/>
      <c r="F10" s="154"/>
      <c r="G10" s="154"/>
      <c r="H10" s="159"/>
      <c r="I10" s="154"/>
      <c r="J10" s="154"/>
      <c r="K10" s="154"/>
      <c r="L10" s="154"/>
      <c r="M10" s="157"/>
    </row>
    <row r="11" spans="1:13" ht="3" customHeight="1">
      <c r="A11" s="157"/>
      <c r="B11" s="87"/>
      <c r="C11" s="87"/>
      <c r="D11" s="87"/>
      <c r="E11" s="87"/>
      <c r="F11" s="87"/>
      <c r="G11" s="87"/>
      <c r="H11" s="87"/>
      <c r="I11" s="87"/>
      <c r="J11" s="87"/>
      <c r="K11" s="87"/>
      <c r="L11" s="87"/>
      <c r="M11" s="157"/>
    </row>
    <row r="12" spans="1:13" ht="15" customHeight="1"/>
    <row r="13" spans="1:13" ht="15.5">
      <c r="A13" s="137"/>
      <c r="B13" s="237" t="s">
        <v>232</v>
      </c>
      <c r="C13" s="87"/>
      <c r="D13" s="87"/>
      <c r="E13" s="87"/>
      <c r="F13" s="87"/>
      <c r="G13" s="87"/>
      <c r="H13" s="87"/>
      <c r="I13" s="87"/>
      <c r="J13" s="87"/>
      <c r="K13" s="87"/>
      <c r="L13" s="87"/>
      <c r="M13" s="137"/>
    </row>
    <row r="14" spans="1:13">
      <c r="D14" s="1"/>
      <c r="E14" s="296" t="s">
        <v>19</v>
      </c>
      <c r="M14" s="137"/>
    </row>
    <row r="15" spans="1:13">
      <c r="B15" s="259" t="s">
        <v>226</v>
      </c>
      <c r="C15" s="31"/>
      <c r="D15" s="205">
        <v>0</v>
      </c>
      <c r="E15" s="61" t="str">
        <f>IF(D15&lt;=30%,"Oui","Non")</f>
        <v>Oui</v>
      </c>
      <c r="F15" s="240" t="s">
        <v>227</v>
      </c>
      <c r="M15" s="137"/>
    </row>
    <row r="16" spans="1:13">
      <c r="B16" s="273"/>
      <c r="C16" s="31"/>
      <c r="D16" s="337"/>
      <c r="E16" s="63"/>
      <c r="F16" s="240"/>
      <c r="M16" s="137"/>
    </row>
    <row r="17" spans="2:13">
      <c r="B17" s="1"/>
      <c r="C17" s="31"/>
      <c r="D17" s="337"/>
      <c r="E17" s="272" t="s">
        <v>20</v>
      </c>
      <c r="F17" s="240"/>
      <c r="M17" s="137"/>
    </row>
    <row r="18" spans="2:13">
      <c r="B18" s="1"/>
      <c r="C18" s="31"/>
      <c r="D18" s="62"/>
      <c r="E18" s="293" t="str">
        <f>IF(D15+'Portion résidentielle'!D15=100%,"Oui","Non")</f>
        <v>Non</v>
      </c>
      <c r="F18" s="240" t="s">
        <v>228</v>
      </c>
      <c r="M18" s="137"/>
    </row>
    <row r="19" spans="2:13">
      <c r="B19" s="273"/>
      <c r="C19" s="31"/>
      <c r="D19" s="62"/>
      <c r="E19" s="63"/>
      <c r="M19" s="137"/>
    </row>
    <row r="20" spans="2:13">
      <c r="B20" s="1"/>
      <c r="C20" s="31"/>
      <c r="D20" s="62"/>
      <c r="E20" s="272" t="s">
        <v>33</v>
      </c>
      <c r="M20" s="137"/>
    </row>
    <row r="21" spans="2:13" ht="31.5" customHeight="1">
      <c r="B21" s="354" t="s">
        <v>263</v>
      </c>
      <c r="C21" s="355"/>
      <c r="D21" s="338" t="e">
        <f>C50/(C50+'Portion résidentielle'!C58)</f>
        <v>#DIV/0!</v>
      </c>
      <c r="E21" s="293" t="e">
        <f>IF(D21&lt;=30%,"Oui","Non")</f>
        <v>#DIV/0!</v>
      </c>
      <c r="F21" s="356" t="s">
        <v>262</v>
      </c>
      <c r="G21" s="357"/>
      <c r="H21" s="357"/>
      <c r="I21" s="357"/>
      <c r="J21" s="357"/>
      <c r="K21" s="357"/>
      <c r="M21" s="137"/>
    </row>
    <row r="22" spans="2:13">
      <c r="F22" s="339"/>
      <c r="M22" s="137"/>
    </row>
    <row r="23" spans="2:13">
      <c r="B23" s="34" t="s">
        <v>179</v>
      </c>
      <c r="C23" s="206" t="s">
        <v>105</v>
      </c>
      <c r="M23" s="137"/>
    </row>
    <row r="24" spans="2:13">
      <c r="B24" s="259" t="s">
        <v>106</v>
      </c>
      <c r="C24" s="207">
        <v>0</v>
      </c>
      <c r="M24" s="137"/>
    </row>
    <row r="25" spans="2:13">
      <c r="B25" s="1" t="s">
        <v>43</v>
      </c>
      <c r="C25" s="207">
        <v>0</v>
      </c>
      <c r="M25" s="137"/>
    </row>
    <row r="26" spans="2:13">
      <c r="B26" s="1" t="s">
        <v>44</v>
      </c>
      <c r="C26" s="207">
        <v>0</v>
      </c>
      <c r="M26" s="137"/>
    </row>
    <row r="27" spans="2:13">
      <c r="B27" s="1" t="s">
        <v>45</v>
      </c>
      <c r="C27" s="207">
        <v>0</v>
      </c>
      <c r="M27" s="137"/>
    </row>
    <row r="28" spans="2:13">
      <c r="B28" s="1" t="s">
        <v>53</v>
      </c>
      <c r="C28" s="207">
        <v>0</v>
      </c>
      <c r="M28" s="137"/>
    </row>
    <row r="29" spans="2:13">
      <c r="B29" s="1" t="str">
        <f>'Budget de l''ensemble'!B22</f>
        <v>Divers et coussin</v>
      </c>
      <c r="C29" s="207">
        <v>0</v>
      </c>
      <c r="M29" s="137"/>
    </row>
    <row r="30" spans="2:13">
      <c r="B30" s="1" t="str">
        <f>'Budget de l''ensemble'!B23</f>
        <v>Contingence dans HC</v>
      </c>
      <c r="C30" s="207"/>
      <c r="M30" s="137"/>
    </row>
    <row r="31" spans="2:13">
      <c r="B31" s="1" t="str">
        <f>'Budget de l''ensemble'!B24</f>
        <v>Autre (décrire)</v>
      </c>
      <c r="C31" s="207">
        <f>D$15*'Budget de l''ensemble'!E24</f>
        <v>0</v>
      </c>
      <c r="M31" s="137"/>
    </row>
    <row r="32" spans="2:13">
      <c r="B32" s="1" t="s">
        <v>49</v>
      </c>
      <c r="C32" s="191">
        <f>SUM(C24:C31)</f>
        <v>0</v>
      </c>
      <c r="M32" s="137"/>
    </row>
    <row r="33" spans="2:13">
      <c r="B33" s="1"/>
      <c r="M33" s="137"/>
    </row>
    <row r="34" spans="2:13">
      <c r="B34" s="2" t="s">
        <v>50</v>
      </c>
      <c r="M34" s="137"/>
    </row>
    <row r="35" spans="2:13">
      <c r="B35" s="259" t="s">
        <v>56</v>
      </c>
      <c r="C35" s="207">
        <v>0</v>
      </c>
      <c r="E35" s="241"/>
      <c r="M35" s="137"/>
    </row>
    <row r="36" spans="2:13">
      <c r="B36" s="1" t="s">
        <v>57</v>
      </c>
      <c r="C36" s="207">
        <f>'Budget de l''ensemble'!E29*'Portion non résidentielle'!D15</f>
        <v>0</v>
      </c>
      <c r="M36" s="137"/>
    </row>
    <row r="37" spans="2:13">
      <c r="B37" s="260" t="str">
        <f>'Budget de l''ensemble'!B30</f>
        <v>Autre financement (décrire)</v>
      </c>
      <c r="C37" s="207">
        <f>'Budget de l''ensemble'!E30*'Portion non résidentielle'!D15</f>
        <v>0</v>
      </c>
      <c r="M37" s="137"/>
    </row>
    <row r="38" spans="2:13">
      <c r="B38" s="260" t="str">
        <f>'Budget de l''ensemble'!B31</f>
        <v>Autre financement (décrire)</v>
      </c>
      <c r="C38" s="207">
        <f>'Budget de l''ensemble'!E31*'Portion non résidentielle'!D15</f>
        <v>0</v>
      </c>
      <c r="M38" s="137"/>
    </row>
    <row r="39" spans="2:13">
      <c r="B39" s="1" t="s">
        <v>171</v>
      </c>
      <c r="C39" s="191">
        <f>SUM(C35:C38)</f>
        <v>0</v>
      </c>
      <c r="M39" s="137"/>
    </row>
    <row r="40" spans="2:13">
      <c r="C40" s="208"/>
      <c r="M40" s="137"/>
    </row>
    <row r="41" spans="2:13">
      <c r="M41" s="137"/>
    </row>
    <row r="42" spans="2:13">
      <c r="M42" s="137"/>
    </row>
    <row r="43" spans="2:13" ht="15.5">
      <c r="E43" s="247" t="s">
        <v>58</v>
      </c>
      <c r="G43" s="247" t="s">
        <v>83</v>
      </c>
      <c r="M43" s="137"/>
    </row>
    <row r="44" spans="2:13" ht="32">
      <c r="B44" s="34" t="s">
        <v>152</v>
      </c>
      <c r="C44" s="3" t="s">
        <v>233</v>
      </c>
      <c r="D44" s="312" t="s">
        <v>151</v>
      </c>
      <c r="E44" s="210" t="s">
        <v>84</v>
      </c>
      <c r="G44" s="209"/>
      <c r="M44" s="137"/>
    </row>
    <row r="45" spans="2:13">
      <c r="B45" s="1" t="s">
        <v>264</v>
      </c>
      <c r="C45" s="43">
        <v>0</v>
      </c>
      <c r="D45" s="43">
        <v>0</v>
      </c>
      <c r="E45" s="174">
        <v>0</v>
      </c>
      <c r="G45" s="36">
        <f>D45*E45*12</f>
        <v>0</v>
      </c>
      <c r="M45" s="137"/>
    </row>
    <row r="46" spans="2:13">
      <c r="B46" s="1" t="s">
        <v>265</v>
      </c>
      <c r="C46" s="43">
        <v>0</v>
      </c>
      <c r="D46" s="43">
        <v>0</v>
      </c>
      <c r="E46" s="174">
        <v>0</v>
      </c>
      <c r="G46" s="36">
        <f t="shared" ref="G46:G48" si="0">D46*E46*12</f>
        <v>0</v>
      </c>
      <c r="M46" s="137"/>
    </row>
    <row r="47" spans="2:13">
      <c r="B47" s="1" t="s">
        <v>266</v>
      </c>
      <c r="C47" s="43"/>
      <c r="D47" s="43"/>
      <c r="E47" s="174"/>
      <c r="G47" s="36">
        <f t="shared" si="0"/>
        <v>0</v>
      </c>
      <c r="M47" s="137"/>
    </row>
    <row r="48" spans="2:13">
      <c r="B48" s="1" t="s">
        <v>267</v>
      </c>
      <c r="C48" s="43"/>
      <c r="D48" s="43"/>
      <c r="E48" s="175"/>
      <c r="G48" s="36">
        <f t="shared" si="0"/>
        <v>0</v>
      </c>
      <c r="M48" s="137"/>
    </row>
    <row r="49" spans="2:13" ht="16">
      <c r="B49" s="1" t="s">
        <v>150</v>
      </c>
      <c r="C49" s="1"/>
      <c r="D49" s="1"/>
      <c r="E49" s="1"/>
      <c r="G49" s="45">
        <v>0</v>
      </c>
      <c r="M49" s="137"/>
    </row>
    <row r="50" spans="2:13">
      <c r="B50" s="1" t="s">
        <v>0</v>
      </c>
      <c r="C50" s="36">
        <f>SUMPRODUCT(C45:C48,D45:D48)</f>
        <v>0</v>
      </c>
      <c r="D50" s="36">
        <f>SUM(D45:D48)</f>
        <v>0</v>
      </c>
      <c r="E50" s="1"/>
      <c r="G50" s="36">
        <f>SUM(G45:G49)</f>
        <v>0</v>
      </c>
      <c r="M50" s="137"/>
    </row>
    <row r="51" spans="2:13">
      <c r="B51" s="1" t="s">
        <v>229</v>
      </c>
      <c r="C51" s="1"/>
      <c r="D51" s="1"/>
      <c r="E51" s="1"/>
      <c r="G51" s="46">
        <v>0</v>
      </c>
      <c r="I51" s="340"/>
      <c r="M51" s="137"/>
    </row>
    <row r="52" spans="2:13" ht="16">
      <c r="B52" s="1" t="s">
        <v>153</v>
      </c>
      <c r="C52" s="1"/>
      <c r="D52" s="1"/>
      <c r="E52" s="1"/>
      <c r="G52" s="37">
        <f>G51*G50</f>
        <v>0</v>
      </c>
      <c r="M52" s="137"/>
    </row>
    <row r="53" spans="2:13">
      <c r="B53" s="1" t="s">
        <v>81</v>
      </c>
      <c r="C53" s="1"/>
      <c r="D53" s="1"/>
      <c r="E53" s="1"/>
      <c r="G53" s="36">
        <f>G50-G52</f>
        <v>0</v>
      </c>
      <c r="M53" s="137"/>
    </row>
    <row r="54" spans="2:13">
      <c r="M54" s="137"/>
    </row>
    <row r="55" spans="2:13" ht="15.5">
      <c r="B55" s="34" t="s">
        <v>230</v>
      </c>
      <c r="G55" s="247" t="s">
        <v>83</v>
      </c>
      <c r="M55" s="137"/>
    </row>
    <row r="56" spans="2:13">
      <c r="B56" s="1" t="s">
        <v>89</v>
      </c>
      <c r="G56" s="174"/>
      <c r="M56" s="137"/>
    </row>
    <row r="57" spans="2:13">
      <c r="B57" s="1" t="s">
        <v>90</v>
      </c>
      <c r="G57" s="174"/>
      <c r="M57" s="137"/>
    </row>
    <row r="58" spans="2:13">
      <c r="B58" s="1" t="s">
        <v>91</v>
      </c>
      <c r="G58" s="174"/>
      <c r="M58" s="137"/>
    </row>
    <row r="59" spans="2:13">
      <c r="B59" s="1" t="s">
        <v>92</v>
      </c>
      <c r="G59" s="174"/>
      <c r="M59" s="137"/>
    </row>
    <row r="60" spans="2:13" ht="16">
      <c r="B60" s="1" t="s">
        <v>93</v>
      </c>
      <c r="G60" s="178"/>
      <c r="M60" s="137"/>
    </row>
    <row r="61" spans="2:13">
      <c r="B61" s="1" t="s">
        <v>148</v>
      </c>
      <c r="G61" s="177">
        <f>SUM(G58:G60)</f>
        <v>0</v>
      </c>
      <c r="M61" s="137"/>
    </row>
    <row r="62" spans="2:13">
      <c r="B62" s="1" t="s">
        <v>94</v>
      </c>
      <c r="G62" s="174"/>
      <c r="M62" s="137"/>
    </row>
    <row r="63" spans="2:13">
      <c r="B63" s="1" t="s">
        <v>220</v>
      </c>
      <c r="G63" s="174"/>
      <c r="M63" s="137"/>
    </row>
    <row r="64" spans="2:13">
      <c r="B64" s="43" t="s">
        <v>48</v>
      </c>
      <c r="G64" s="174">
        <v>0</v>
      </c>
      <c r="M64" s="137"/>
    </row>
    <row r="65" spans="2:16">
      <c r="B65" s="43" t="s">
        <v>48</v>
      </c>
      <c r="G65" s="174">
        <v>0</v>
      </c>
      <c r="M65" s="137"/>
    </row>
    <row r="66" spans="2:16">
      <c r="B66" s="43" t="s">
        <v>48</v>
      </c>
      <c r="G66" s="174"/>
      <c r="M66" s="137"/>
    </row>
    <row r="67" spans="2:16">
      <c r="B67" s="1" t="s">
        <v>167</v>
      </c>
      <c r="F67" s="211"/>
      <c r="G67" s="213">
        <f>F67*$G$53</f>
        <v>0</v>
      </c>
      <c r="M67" s="137"/>
    </row>
    <row r="68" spans="2:16" ht="16">
      <c r="B68" s="1" t="s">
        <v>149</v>
      </c>
      <c r="F68" s="212"/>
      <c r="G68" s="214">
        <f>F68*$G$53</f>
        <v>0</v>
      </c>
      <c r="M68" s="137"/>
    </row>
    <row r="69" spans="2:16">
      <c r="B69" s="1" t="s">
        <v>211</v>
      </c>
      <c r="G69" s="215">
        <f>SUM(G56:G60,G62:G68)</f>
        <v>0</v>
      </c>
      <c r="M69" s="137"/>
    </row>
    <row r="70" spans="2:16">
      <c r="B70" s="1"/>
      <c r="G70" s="1"/>
      <c r="M70" s="137"/>
    </row>
    <row r="71" spans="2:16">
      <c r="B71" s="31" t="s">
        <v>212</v>
      </c>
      <c r="G71" s="80">
        <f>G53-G69</f>
        <v>0</v>
      </c>
      <c r="M71" s="137"/>
    </row>
    <row r="72" spans="2:16">
      <c r="M72" s="137"/>
    </row>
    <row r="73" spans="2:16">
      <c r="G73" s="47"/>
      <c r="M73" s="137"/>
    </row>
    <row r="74" spans="2:16">
      <c r="B74" s="133" t="s">
        <v>154</v>
      </c>
      <c r="C74" s="133"/>
      <c r="D74" s="133"/>
      <c r="E74" s="317"/>
      <c r="G74" s="48"/>
      <c r="M74" s="137"/>
    </row>
    <row r="75" spans="2:16">
      <c r="B75" s="1" t="s">
        <v>101</v>
      </c>
      <c r="G75" s="85">
        <f>C32-C39</f>
        <v>0</v>
      </c>
      <c r="M75" s="137"/>
    </row>
    <row r="76" spans="2:16">
      <c r="B76" s="1" t="s">
        <v>231</v>
      </c>
      <c r="G76" s="320">
        <f>'Portion résidentielle'!I108</f>
        <v>0</v>
      </c>
      <c r="H76" s="241"/>
      <c r="J76" s="166"/>
      <c r="M76" s="137"/>
    </row>
    <row r="77" spans="2:16">
      <c r="B77" s="1" t="s">
        <v>214</v>
      </c>
      <c r="G77" s="262">
        <f>'Portion résidentielle'!I109</f>
        <v>0</v>
      </c>
      <c r="H77" s="241"/>
      <c r="M77" s="137"/>
    </row>
    <row r="78" spans="2:16">
      <c r="B78" s="1" t="s">
        <v>155</v>
      </c>
      <c r="G78" s="36">
        <f>IF(G75=0, 0, -PMT((((G76/2)+1)^(1/6))-1, G77*12, G75, 0, 0))</f>
        <v>0</v>
      </c>
      <c r="M78" s="137"/>
    </row>
    <row r="79" spans="2:16">
      <c r="B79" s="1" t="s">
        <v>156</v>
      </c>
      <c r="G79" s="36">
        <f>G78*12</f>
        <v>0</v>
      </c>
      <c r="M79" s="137"/>
    </row>
    <row r="80" spans="2:16">
      <c r="B80" s="1" t="s">
        <v>99</v>
      </c>
      <c r="C80" s="350" t="s">
        <v>157</v>
      </c>
      <c r="D80" s="350"/>
      <c r="E80" s="350"/>
      <c r="F80" s="351"/>
      <c r="G80" s="136">
        <f>IF(G79=0, 0, G71/G79)</f>
        <v>0</v>
      </c>
      <c r="M80" s="137"/>
      <c r="P80" s="35"/>
    </row>
    <row r="81" spans="1:16">
      <c r="B81" s="297" t="s">
        <v>164</v>
      </c>
      <c r="C81" s="172"/>
      <c r="D81" s="172"/>
      <c r="G81" s="298" t="str">
        <f>IF(G80&gt;=1.4,"Oui","Non")</f>
        <v>Non</v>
      </c>
      <c r="M81" s="137"/>
      <c r="P81" s="35"/>
    </row>
    <row r="82" spans="1:16" ht="6.75" customHeight="1">
      <c r="G82" s="1"/>
      <c r="M82" s="137"/>
      <c r="P82" s="35"/>
    </row>
    <row r="83" spans="1:16">
      <c r="B83" s="279" t="s">
        <v>101</v>
      </c>
      <c r="C83" s="241"/>
      <c r="G83" s="321">
        <f>C32-C39</f>
        <v>0</v>
      </c>
      <c r="M83" s="137"/>
      <c r="P83" s="35"/>
    </row>
    <row r="84" spans="1:16">
      <c r="B84" s="279" t="s">
        <v>216</v>
      </c>
      <c r="G84" s="321">
        <f>C32</f>
        <v>0</v>
      </c>
      <c r="M84" s="137"/>
      <c r="P84" s="35"/>
    </row>
    <row r="85" spans="1:16">
      <c r="B85" s="279" t="s">
        <v>158</v>
      </c>
      <c r="D85" s="350" t="s">
        <v>159</v>
      </c>
      <c r="E85" s="350"/>
      <c r="F85" s="350"/>
      <c r="G85" s="267" t="str">
        <f>IF(G84=0, "", G83/G84)</f>
        <v/>
      </c>
      <c r="M85" s="137"/>
    </row>
    <row r="86" spans="1:16">
      <c r="B86" s="297" t="s">
        <v>165</v>
      </c>
      <c r="C86" s="172"/>
      <c r="D86" s="172"/>
      <c r="E86" s="316"/>
      <c r="F86" s="265"/>
      <c r="G86" s="298" t="str">
        <f>IF(G85&lt;=0.75,"Oui","Non")</f>
        <v>Non</v>
      </c>
      <c r="M86" s="137"/>
    </row>
    <row r="87" spans="1:16">
      <c r="B87" s="79"/>
      <c r="C87" s="64"/>
      <c r="D87" s="263"/>
      <c r="E87" s="264"/>
      <c r="F87" s="265"/>
      <c r="G87" s="266"/>
      <c r="M87" s="137"/>
    </row>
    <row r="88" spans="1:16">
      <c r="B88" s="133" t="s">
        <v>160</v>
      </c>
      <c r="C88" s="133"/>
      <c r="D88" s="133"/>
      <c r="E88" s="264"/>
      <c r="F88" s="265"/>
      <c r="G88" s="266"/>
      <c r="M88" s="137"/>
    </row>
    <row r="89" spans="1:16">
      <c r="B89" s="255" t="s">
        <v>147</v>
      </c>
      <c r="C89" s="294"/>
      <c r="D89" s="295"/>
      <c r="E89" s="264"/>
      <c r="F89" s="265"/>
      <c r="G89" s="276" t="e">
        <f>IF((0.25-(1-G85))&lt;0,0,(0.25-(1-G85))*C32)</f>
        <v>#VALUE!</v>
      </c>
      <c r="M89" s="137"/>
    </row>
    <row r="90" spans="1:16">
      <c r="B90" s="255" t="s">
        <v>104</v>
      </c>
      <c r="C90" s="294"/>
      <c r="D90" s="295"/>
      <c r="E90" s="352"/>
      <c r="F90" s="352"/>
      <c r="G90" s="276" t="e">
        <f>IF(G75&gt;C109,G75-C109,0)</f>
        <v>#DIV/0!</v>
      </c>
      <c r="M90" s="137"/>
    </row>
    <row r="91" spans="1:16">
      <c r="B91" s="251" t="s">
        <v>161</v>
      </c>
      <c r="C91" s="294"/>
      <c r="D91" s="295"/>
      <c r="E91" s="264"/>
      <c r="F91" s="265"/>
      <c r="G91" s="277" t="e">
        <f>IF(G89&gt;G90,G89,G90)</f>
        <v>#VALUE!</v>
      </c>
      <c r="I91" s="162" t="s">
        <v>162</v>
      </c>
      <c r="J91" s="162"/>
      <c r="K91" s="319"/>
      <c r="M91" s="137"/>
    </row>
    <row r="92" spans="1:16">
      <c r="B92" s="289" t="s">
        <v>163</v>
      </c>
      <c r="C92" s="294"/>
      <c r="D92" s="295"/>
      <c r="E92" s="264"/>
      <c r="F92" s="265"/>
      <c r="G92" s="278">
        <v>0</v>
      </c>
      <c r="M92" s="137"/>
    </row>
    <row r="93" spans="1:16">
      <c r="G93" s="32">
        <v>0</v>
      </c>
      <c r="M93" s="137"/>
    </row>
    <row r="94" spans="1:16" ht="6" customHeight="1">
      <c r="A94" s="137"/>
      <c r="B94" s="87"/>
      <c r="C94" s="87"/>
      <c r="D94" s="87"/>
      <c r="E94" s="87"/>
      <c r="F94" s="87"/>
      <c r="G94" s="87"/>
      <c r="H94" s="87"/>
      <c r="I94" s="87"/>
      <c r="J94" s="87"/>
      <c r="K94" s="87"/>
      <c r="L94" s="87"/>
      <c r="M94" s="137"/>
    </row>
    <row r="95" spans="1:16">
      <c r="G95" s="1"/>
    </row>
    <row r="96" spans="1:16">
      <c r="A96" s="164"/>
      <c r="B96" s="164"/>
      <c r="C96" s="164"/>
      <c r="G96" s="41"/>
    </row>
    <row r="97" spans="1:7">
      <c r="A97" s="164"/>
      <c r="B97" s="164"/>
      <c r="C97" s="164"/>
      <c r="G97" s="40"/>
    </row>
    <row r="100" spans="1:7">
      <c r="A100" s="167"/>
      <c r="B100" s="167"/>
      <c r="C100" s="167"/>
    </row>
    <row r="101" spans="1:7">
      <c r="A101" s="167"/>
      <c r="B101" s="167"/>
      <c r="C101" s="167"/>
    </row>
    <row r="104" spans="1:7" hidden="1"/>
    <row r="105" spans="1:7" hidden="1">
      <c r="B105" s="353" t="s">
        <v>104</v>
      </c>
      <c r="C105" s="353"/>
      <c r="D105" s="1"/>
      <c r="E105" s="1"/>
      <c r="F105" s="1"/>
    </row>
    <row r="106" spans="1:7" hidden="1">
      <c r="B106" s="1" t="s">
        <v>222</v>
      </c>
      <c r="C106" s="257">
        <f>G71/(12*1.4)</f>
        <v>0</v>
      </c>
      <c r="E106" s="1"/>
      <c r="F106" s="1"/>
    </row>
    <row r="107" spans="1:7" hidden="1">
      <c r="B107" s="1" t="s">
        <v>223</v>
      </c>
      <c r="C107" s="256">
        <f>(((G76/2)+1)^(1/6))-1</f>
        <v>0</v>
      </c>
      <c r="E107" s="1"/>
      <c r="F107" s="1"/>
    </row>
    <row r="108" spans="1:7" hidden="1">
      <c r="B108" s="1" t="s">
        <v>224</v>
      </c>
      <c r="C108" s="275">
        <f>G77*12</f>
        <v>0</v>
      </c>
      <c r="E108" s="1"/>
      <c r="F108" s="1"/>
    </row>
    <row r="109" spans="1:7" hidden="1">
      <c r="B109" s="1" t="s">
        <v>225</v>
      </c>
      <c r="C109" s="257" t="e">
        <f>C106*(((1+C107)^C108)-1)/(C107*((1+C107)^C108))</f>
        <v>#DIV/0!</v>
      </c>
      <c r="E109" s="1"/>
      <c r="F109" s="1"/>
    </row>
    <row r="110" spans="1:7" hidden="1"/>
  </sheetData>
  <sheetProtection algorithmName="SHA-512" hashValue="Z6x0Vj6I1scuwvvUMr04+eOCJzg8nkrovW+yie/dBbAuxqlZJzwnpAHGHgeUv1yxYX3c1Yr0ZRYh7hjhisw21g==" saltValue="OorOXXS3fwrKCFX80U8wEQ==" spinCount="100000" sheet="1" selectLockedCells="1"/>
  <mergeCells count="6">
    <mergeCell ref="C80:F80"/>
    <mergeCell ref="E90:F90"/>
    <mergeCell ref="B105:C105"/>
    <mergeCell ref="D85:F85"/>
    <mergeCell ref="B21:C21"/>
    <mergeCell ref="F21:K21"/>
  </mergeCells>
  <conditionalFormatting sqref="C38">
    <cfRule type="containsErrors" dxfId="4" priority="6">
      <formula>ISERROR(C38)</formula>
    </cfRule>
  </conditionalFormatting>
  <conditionalFormatting sqref="C39">
    <cfRule type="containsErrors" dxfId="3" priority="5">
      <formula>ISERROR(C39)</formula>
    </cfRule>
  </conditionalFormatting>
  <conditionalFormatting sqref="D21">
    <cfRule type="containsErrors" dxfId="2" priority="3">
      <formula>ISERROR(D21)</formula>
    </cfRule>
  </conditionalFormatting>
  <conditionalFormatting sqref="E15:E17">
    <cfRule type="containsErrors" dxfId="1" priority="2">
      <formula>ISERROR(E15)</formula>
    </cfRule>
  </conditionalFormatting>
  <conditionalFormatting sqref="E21">
    <cfRule type="containsErrors" dxfId="0" priority="1">
      <formula>ISERROR(E21)</formula>
    </cfRule>
  </conditionalFormatting>
  <pageMargins left="0.70866141732283472" right="0.70866141732283472" top="0.74803149606299213" bottom="0.74803149606299213" header="0.31496062992125984" footer="0.31496062992125984"/>
  <pageSetup scale="50" orientation="portrait" r:id="rId1"/>
  <ignoredErrors>
    <ignoredError sqref="C31:C34 G67 C3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gotoSheet_ResidentialNew">
                <anchor moveWithCells="1" sizeWithCells="1">
                  <from>
                    <xdr:col>1</xdr:col>
                    <xdr:colOff>0</xdr:colOff>
                    <xdr:row>95</xdr:row>
                    <xdr:rowOff>38100</xdr:rowOff>
                  </from>
                  <to>
                    <xdr:col>1</xdr:col>
                    <xdr:colOff>838200</xdr:colOff>
                    <xdr:row>96</xdr:row>
                    <xdr:rowOff>190500</xdr:rowOff>
                  </to>
                </anchor>
              </controlPr>
            </control>
          </mc:Choice>
        </mc:AlternateContent>
        <mc:AlternateContent xmlns:mc="http://schemas.openxmlformats.org/markup-compatibility/2006">
          <mc:Choice Requires="x14">
            <control shapeId="5122" r:id="rId5" name="Button 2">
              <controlPr defaultSize="0" print="0" autoFill="0" autoPict="0" macro="[0]!gotoSheet_EligibilitySocial">
                <anchor moveWithCells="1" sizeWithCells="1">
                  <from>
                    <xdr:col>2</xdr:col>
                    <xdr:colOff>330200</xdr:colOff>
                    <xdr:row>95</xdr:row>
                    <xdr:rowOff>38100</xdr:rowOff>
                  </from>
                  <to>
                    <xdr:col>2</xdr:col>
                    <xdr:colOff>1168400</xdr:colOff>
                    <xdr:row>96</xdr:row>
                    <xdr:rowOff>190500</xdr:rowOff>
                  </to>
                </anchor>
              </controlPr>
            </control>
          </mc:Choice>
        </mc:AlternateContent>
        <mc:AlternateContent xmlns:mc="http://schemas.openxmlformats.org/markup-compatibility/2006">
          <mc:Choice Requires="x14">
            <control shapeId="5127" r:id="rId6" name="Button 7">
              <controlPr defaultSize="0" print="0" autoFill="0" autoPict="0" macro="[0]!resetThisPage">
                <anchor moveWithCells="1" sizeWithCells="1">
                  <from>
                    <xdr:col>0</xdr:col>
                    <xdr:colOff>177800</xdr:colOff>
                    <xdr:row>99</xdr:row>
                    <xdr:rowOff>25400</xdr:rowOff>
                  </from>
                  <to>
                    <xdr:col>1</xdr:col>
                    <xdr:colOff>838200</xdr:colOff>
                    <xdr:row>100</xdr:row>
                    <xdr:rowOff>177800</xdr:rowOff>
                  </to>
                </anchor>
              </controlPr>
            </control>
          </mc:Choice>
        </mc:AlternateContent>
        <mc:AlternateContent xmlns:mc="http://schemas.openxmlformats.org/markup-compatibility/2006">
          <mc:Choice Requires="x14">
            <control shapeId="5128" r:id="rId7" name="Button 8">
              <controlPr defaultSize="0" print="0" autoFill="0" autoPict="0" macro="[0]!resetAll">
                <anchor moveWithCells="1" sizeWithCells="1">
                  <from>
                    <xdr:col>2</xdr:col>
                    <xdr:colOff>330200</xdr:colOff>
                    <xdr:row>99</xdr:row>
                    <xdr:rowOff>38100</xdr:rowOff>
                  </from>
                  <to>
                    <xdr:col>2</xdr:col>
                    <xdr:colOff>1168400</xdr:colOff>
                    <xdr:row>100</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09"/>
  <sheetViews>
    <sheetView showGridLines="0" zoomScale="85" zoomScaleNormal="85" workbookViewId="0">
      <pane ySplit="12" topLeftCell="A13" activePane="bottomLeft" state="frozen"/>
      <selection activeCell="B23" sqref="B23"/>
      <selection pane="bottomLeft" activeCell="G19" sqref="G19"/>
    </sheetView>
  </sheetViews>
  <sheetFormatPr defaultColWidth="9.08984375" defaultRowHeight="14.5"/>
  <cols>
    <col min="1" max="1" width="2.6328125" customWidth="1"/>
    <col min="2" max="2" width="32.54296875" style="97" customWidth="1"/>
    <col min="3" max="3" width="2.6328125" style="97" customWidth="1"/>
    <col min="4" max="4" width="91.36328125" customWidth="1"/>
    <col min="5" max="5" width="18.81640625" customWidth="1"/>
    <col min="6" max="6" width="12.81640625" customWidth="1"/>
    <col min="7" max="7" width="12.81640625" style="59" customWidth="1"/>
    <col min="8" max="8" width="17.453125" style="59" customWidth="1"/>
    <col min="9" max="10" width="2.6328125" customWidth="1"/>
    <col min="11" max="11" width="9.08984375" hidden="1" customWidth="1"/>
  </cols>
  <sheetData>
    <row r="1" spans="1:12">
      <c r="A1" s="156"/>
      <c r="B1" s="87" t="s">
        <v>35</v>
      </c>
      <c r="C1" s="87"/>
      <c r="D1" s="87"/>
      <c r="E1" s="88"/>
      <c r="F1" s="87"/>
      <c r="G1" s="87"/>
      <c r="H1" s="87"/>
      <c r="I1" s="87"/>
      <c r="J1" s="157"/>
    </row>
    <row r="2" spans="1:12" ht="6" customHeight="1">
      <c r="A2" s="154"/>
      <c r="B2" s="154"/>
      <c r="C2" s="154"/>
      <c r="D2" s="154"/>
      <c r="E2" s="154"/>
      <c r="F2" s="154"/>
      <c r="G2" s="154"/>
      <c r="H2" s="154"/>
      <c r="I2" s="154"/>
      <c r="J2" s="157"/>
    </row>
    <row r="3" spans="1:12">
      <c r="B3" t="s">
        <v>175</v>
      </c>
      <c r="D3" s="82">
        <f>IF(OR(('Portion résidentielle'!I111+'Portion non résidentielle'!G79)=0, ISERR(('Portion résidentielle'!I111+'Portion non résidentielle'!G79))), 0, ('Portion résidentielle'!I102+'Portion non résidentielle'!G71)/('Portion résidentielle'!I111+'Portion non résidentielle'!G79))</f>
        <v>0</v>
      </c>
      <c r="F3" s="155" t="s">
        <v>39</v>
      </c>
      <c r="G3" s="155"/>
      <c r="H3" s="86" t="str">
        <f>'Portion résidentielle'!G59</f>
        <v>Oui</v>
      </c>
      <c r="J3" s="157"/>
    </row>
    <row r="4" spans="1:12">
      <c r="B4" t="s">
        <v>176</v>
      </c>
      <c r="D4" s="318">
        <f>IF('Budget de l''ensemble'!E25=0, 0, ('Portion résidentielle'!I107+'Portion non résidentielle'!G75)/'Budget de l''ensemble'!E25)</f>
        <v>0</v>
      </c>
      <c r="F4" s="155" t="s">
        <v>107</v>
      </c>
      <c r="G4" s="155"/>
      <c r="H4" s="86" t="str">
        <f>'Portion résidentielle'!K52</f>
        <v>Non</v>
      </c>
      <c r="J4" s="157"/>
    </row>
    <row r="5" spans="1:12">
      <c r="B5" t="s">
        <v>36</v>
      </c>
      <c r="D5" s="158">
        <f>'Portion résidentielle'!I107+'Portion non résidentielle'!G75</f>
        <v>0</v>
      </c>
      <c r="F5" s="155" t="s">
        <v>38</v>
      </c>
      <c r="G5" s="155"/>
      <c r="H5" s="86" t="str">
        <f>'Portion résidentielle'!R58</f>
        <v>Non</v>
      </c>
      <c r="J5" s="157"/>
    </row>
    <row r="6" spans="1:12">
      <c r="B6"/>
      <c r="F6" s="155" t="s">
        <v>40</v>
      </c>
      <c r="G6" s="155"/>
      <c r="H6" s="86" t="str">
        <f>'Portion résidentielle'!S58</f>
        <v>Non</v>
      </c>
      <c r="J6" s="157"/>
    </row>
    <row r="7" spans="1:12">
      <c r="B7" s="155" t="s">
        <v>177</v>
      </c>
      <c r="C7" s="155"/>
      <c r="D7" s="86" t="str">
        <f>'Admissibilité et rés. sociaux'!G32</f>
        <v>Non</v>
      </c>
      <c r="E7" s="86"/>
      <c r="F7" s="155" t="s">
        <v>41</v>
      </c>
      <c r="G7" s="155"/>
      <c r="H7" s="86" t="str">
        <f>'Portion résidentielle'!T58</f>
        <v>Non</v>
      </c>
      <c r="J7" s="157"/>
    </row>
    <row r="8" spans="1:12" ht="3" customHeight="1">
      <c r="B8" s="154"/>
      <c r="C8" s="154"/>
      <c r="D8" s="154"/>
      <c r="E8" s="154"/>
      <c r="F8" s="154"/>
      <c r="G8" s="154"/>
      <c r="H8" s="154"/>
      <c r="J8" s="157"/>
    </row>
    <row r="9" spans="1:12" ht="15" customHeight="1">
      <c r="B9" t="s">
        <v>42</v>
      </c>
      <c r="D9" t="str">
        <f>'Admissibilité et rés. sociaux'!H90</f>
        <v>RPC jusqu’à 90 %, portion résid.</v>
      </c>
      <c r="G9"/>
      <c r="J9" s="157"/>
    </row>
    <row r="10" spans="1:12" ht="3" customHeight="1">
      <c r="A10" s="154"/>
      <c r="B10" s="154"/>
      <c r="C10" s="154"/>
      <c r="D10" s="154"/>
      <c r="E10" s="154"/>
      <c r="F10" s="154"/>
      <c r="G10" s="154"/>
      <c r="H10" s="154"/>
      <c r="I10" s="154"/>
      <c r="J10" s="157"/>
    </row>
    <row r="11" spans="1:12" ht="3" customHeight="1">
      <c r="A11" s="157"/>
      <c r="B11" s="87"/>
      <c r="C11" s="87"/>
      <c r="D11" s="87"/>
      <c r="E11" s="87"/>
      <c r="F11" s="87"/>
      <c r="G11" s="87"/>
      <c r="H11" s="87"/>
      <c r="I11" s="87"/>
      <c r="J11" s="157"/>
    </row>
    <row r="12" spans="1:12" ht="15" customHeight="1">
      <c r="B12"/>
      <c r="C12"/>
      <c r="G12"/>
      <c r="H12"/>
    </row>
    <row r="13" spans="1:12" ht="15.5">
      <c r="A13" s="137"/>
      <c r="B13" s="223" t="s">
        <v>234</v>
      </c>
      <c r="C13" s="98"/>
      <c r="D13" s="98"/>
      <c r="E13" s="98"/>
      <c r="F13" s="98"/>
      <c r="G13" s="98"/>
      <c r="H13" s="98"/>
      <c r="I13" s="98"/>
      <c r="J13" s="137"/>
      <c r="K13" s="59"/>
    </row>
    <row r="14" spans="1:12" ht="6" customHeight="1">
      <c r="B14" s="140"/>
      <c r="C14" s="140"/>
      <c r="D14" s="141"/>
      <c r="E14" s="141"/>
      <c r="F14" s="141"/>
      <c r="G14" s="141"/>
      <c r="H14" s="142"/>
      <c r="I14" s="59"/>
      <c r="J14" s="137"/>
    </row>
    <row r="15" spans="1:12">
      <c r="B15" s="99" t="s">
        <v>115</v>
      </c>
      <c r="C15" s="99"/>
      <c r="D15" s="65"/>
      <c r="E15" s="65"/>
      <c r="F15" s="65"/>
      <c r="G15" s="65"/>
      <c r="H15" s="66" t="s">
        <v>133</v>
      </c>
      <c r="I15" s="59"/>
      <c r="J15" s="137"/>
      <c r="L15" s="82"/>
    </row>
    <row r="16" spans="1:12" ht="29">
      <c r="B16" s="100" t="s">
        <v>235</v>
      </c>
      <c r="C16" s="100"/>
      <c r="D16" s="358" t="s">
        <v>248</v>
      </c>
      <c r="E16" s="358"/>
      <c r="F16" s="187"/>
      <c r="G16" s="186">
        <f>D3</f>
        <v>0</v>
      </c>
      <c r="H16" s="90" t="str">
        <f>IF(G16=1.1,"Oui",IF(G16&gt;1.1,"Oui","Non"))</f>
        <v>Non</v>
      </c>
      <c r="I16" s="59"/>
      <c r="J16" s="137"/>
      <c r="K16" s="76">
        <f>IF(H16="Oui",0,1)</f>
        <v>1</v>
      </c>
    </row>
    <row r="17" spans="2:11" ht="15" customHeight="1">
      <c r="B17" s="143"/>
      <c r="C17" s="143"/>
      <c r="D17" s="72"/>
      <c r="E17" s="72"/>
      <c r="F17" s="72"/>
      <c r="G17" s="216"/>
      <c r="H17" s="73"/>
      <c r="I17" s="59"/>
      <c r="J17" s="137"/>
      <c r="K17" s="76">
        <f>IF(G18="Oui",0,1)</f>
        <v>1</v>
      </c>
    </row>
    <row r="18" spans="2:11">
      <c r="B18" s="99" t="s">
        <v>108</v>
      </c>
      <c r="C18" s="99"/>
      <c r="D18" s="65"/>
      <c r="E18" s="65"/>
      <c r="F18" s="65"/>
      <c r="G18" s="66"/>
      <c r="H18" s="66"/>
      <c r="I18" s="59"/>
      <c r="J18" s="137"/>
    </row>
    <row r="19" spans="2:11" ht="60.75" customHeight="1">
      <c r="B19" s="100" t="s">
        <v>109</v>
      </c>
      <c r="C19" s="100"/>
      <c r="D19" s="358" t="s">
        <v>257</v>
      </c>
      <c r="E19" s="359"/>
      <c r="F19" s="67"/>
      <c r="G19" s="189"/>
      <c r="H19" s="93"/>
      <c r="I19" s="59"/>
      <c r="J19" s="137"/>
      <c r="K19" s="76">
        <f>IF(G19="Oui",0,1)</f>
        <v>1</v>
      </c>
    </row>
    <row r="20" spans="2:11">
      <c r="B20" s="99"/>
      <c r="C20" s="99"/>
      <c r="D20" s="65"/>
      <c r="E20" s="65"/>
      <c r="F20" s="65"/>
      <c r="G20" s="66"/>
      <c r="H20" s="66"/>
      <c r="I20" s="59"/>
      <c r="J20" s="137"/>
    </row>
    <row r="21" spans="2:11">
      <c r="B21" s="101" t="s">
        <v>110</v>
      </c>
      <c r="C21" s="101"/>
      <c r="D21" s="358" t="s">
        <v>236</v>
      </c>
      <c r="E21" s="359"/>
      <c r="F21" s="68"/>
      <c r="G21" s="92"/>
      <c r="H21" s="66"/>
      <c r="I21" s="59"/>
      <c r="J21" s="137"/>
      <c r="K21" s="76">
        <f>IF(G21="Oui",0,1)</f>
        <v>1</v>
      </c>
    </row>
    <row r="22" spans="2:11">
      <c r="B22" s="101"/>
      <c r="C22" s="101"/>
      <c r="D22" s="68"/>
      <c r="E22" s="68"/>
      <c r="F22" s="68"/>
      <c r="G22" s="69"/>
      <c r="H22" s="66"/>
      <c r="I22" s="59"/>
      <c r="J22" s="137"/>
    </row>
    <row r="23" spans="2:11" ht="43.5" customHeight="1">
      <c r="B23" s="100" t="s">
        <v>111</v>
      </c>
      <c r="C23" s="100"/>
      <c r="D23" s="358" t="s">
        <v>258</v>
      </c>
      <c r="E23" s="359"/>
      <c r="F23" s="67"/>
      <c r="G23" s="189"/>
      <c r="H23" s="93"/>
      <c r="I23" s="59"/>
      <c r="J23" s="137"/>
      <c r="K23" s="76">
        <f>IF(G23="Oui",0,1)</f>
        <v>1</v>
      </c>
    </row>
    <row r="24" spans="2:11" ht="15" customHeight="1">
      <c r="B24" s="100"/>
      <c r="C24" s="100"/>
      <c r="D24" s="299"/>
      <c r="E24" s="300"/>
      <c r="F24" s="67"/>
      <c r="G24" s="232"/>
      <c r="H24" s="93"/>
      <c r="I24" s="301"/>
      <c r="J24" s="137"/>
      <c r="K24" s="76"/>
    </row>
    <row r="25" spans="2:11">
      <c r="B25" s="303" t="s">
        <v>112</v>
      </c>
      <c r="C25" s="304"/>
      <c r="D25" s="305"/>
      <c r="E25" s="305"/>
      <c r="F25" s="305"/>
      <c r="G25" s="306"/>
      <c r="H25" s="307"/>
      <c r="I25" s="59"/>
      <c r="J25" s="137"/>
    </row>
    <row r="26" spans="2:11" ht="48" customHeight="1">
      <c r="B26" s="97" t="s">
        <v>113</v>
      </c>
      <c r="C26" s="100"/>
      <c r="D26" s="358" t="s">
        <v>259</v>
      </c>
      <c r="E26" s="359"/>
      <c r="F26" s="67"/>
      <c r="G26" s="189"/>
      <c r="H26" s="93"/>
      <c r="I26" s="59"/>
      <c r="J26" s="137"/>
      <c r="K26" s="76">
        <f>IF(G26="Oui",0,1)</f>
        <v>1</v>
      </c>
    </row>
    <row r="27" spans="2:11">
      <c r="B27" s="101"/>
      <c r="C27" s="101"/>
      <c r="D27" s="358"/>
      <c r="E27" s="359"/>
      <c r="F27" s="83"/>
      <c r="G27" s="84"/>
      <c r="H27" s="93"/>
      <c r="I27" s="59"/>
      <c r="J27" s="137"/>
      <c r="K27" s="75"/>
    </row>
    <row r="28" spans="2:11" ht="15" customHeight="1">
      <c r="B28" s="101" t="s">
        <v>237</v>
      </c>
      <c r="C28" s="101"/>
      <c r="D28" s="65" t="s">
        <v>238</v>
      </c>
      <c r="E28" s="65"/>
      <c r="F28" s="65"/>
      <c r="G28" s="189"/>
      <c r="H28" s="93"/>
      <c r="I28" s="59" t="s">
        <v>29</v>
      </c>
      <c r="J28" s="137"/>
      <c r="K28" s="76">
        <f>IF(G28="Oui",0,1)</f>
        <v>1</v>
      </c>
    </row>
    <row r="29" spans="2:11" ht="15" customHeight="1">
      <c r="B29" s="143"/>
      <c r="C29" s="143"/>
      <c r="D29" s="72"/>
      <c r="E29" s="72"/>
      <c r="F29" s="72"/>
      <c r="G29" s="144"/>
      <c r="H29" s="73"/>
      <c r="I29" s="59"/>
      <c r="J29" s="137"/>
      <c r="K29" s="76">
        <f>IF(G30="Oui",0,1)</f>
        <v>1</v>
      </c>
    </row>
    <row r="30" spans="2:11" ht="88.5" customHeight="1">
      <c r="B30" s="102" t="s">
        <v>114</v>
      </c>
      <c r="C30" s="102"/>
      <c r="D30" s="358" t="s">
        <v>296</v>
      </c>
      <c r="E30" s="361"/>
      <c r="F30" s="187"/>
      <c r="G30" s="94"/>
      <c r="H30" s="93"/>
      <c r="I30" s="59"/>
      <c r="J30" s="137"/>
      <c r="K30" s="76">
        <f>K16+K19+K26+K28+K29</f>
        <v>5</v>
      </c>
    </row>
    <row r="31" spans="2:11">
      <c r="B31" s="143"/>
      <c r="C31" s="143"/>
      <c r="D31" s="72"/>
      <c r="E31" s="72"/>
      <c r="F31" s="72"/>
      <c r="G31" s="72"/>
      <c r="H31" s="73"/>
      <c r="I31" s="59"/>
      <c r="J31" s="137"/>
    </row>
    <row r="32" spans="2:11" ht="42.75" customHeight="1">
      <c r="B32" s="99" t="s">
        <v>249</v>
      </c>
      <c r="C32" s="99"/>
      <c r="D32" s="363" t="s">
        <v>299</v>
      </c>
      <c r="E32" s="363"/>
      <c r="F32" s="221"/>
      <c r="G32" s="139" t="str">
        <f>IF(K32&gt;0,"Non","Oui")</f>
        <v>Non</v>
      </c>
      <c r="H32" s="66"/>
      <c r="I32" s="59"/>
      <c r="J32" s="137"/>
      <c r="K32">
        <f>IF(K19=0, K30, (K16+K21+K23+K26+K28+K29))</f>
        <v>6</v>
      </c>
    </row>
    <row r="33" spans="1:11">
      <c r="B33" s="99"/>
      <c r="C33" s="99"/>
      <c r="D33" s="221"/>
      <c r="E33" s="221"/>
      <c r="F33" s="221"/>
      <c r="G33" s="70"/>
      <c r="H33" s="66"/>
      <c r="I33" s="59"/>
      <c r="J33" s="137"/>
    </row>
    <row r="34" spans="1:11" ht="18" customHeight="1">
      <c r="A34" s="137"/>
      <c r="B34" s="362" t="s">
        <v>239</v>
      </c>
      <c r="C34" s="362"/>
      <c r="D34" s="362"/>
      <c r="E34" s="98"/>
      <c r="F34" s="98"/>
      <c r="G34" s="98"/>
      <c r="H34" s="98"/>
      <c r="I34" s="98"/>
      <c r="J34" s="137"/>
      <c r="K34" s="302"/>
    </row>
    <row r="35" spans="1:11">
      <c r="B35" s="103"/>
      <c r="C35" s="103"/>
      <c r="D35" s="72"/>
      <c r="E35" s="73" t="s">
        <v>30</v>
      </c>
      <c r="F35" s="73"/>
      <c r="G35" s="95" t="s">
        <v>120</v>
      </c>
      <c r="H35" s="73" t="s">
        <v>118</v>
      </c>
      <c r="J35" s="137"/>
    </row>
    <row r="36" spans="1:11">
      <c r="B36" s="99" t="s">
        <v>108</v>
      </c>
      <c r="C36" s="99"/>
      <c r="D36" s="65"/>
      <c r="E36" s="66"/>
      <c r="F36" s="66"/>
      <c r="G36" s="66"/>
      <c r="H36" s="66"/>
      <c r="J36" s="137"/>
    </row>
    <row r="37" spans="1:11">
      <c r="B37" s="187" t="s">
        <v>116</v>
      </c>
      <c r="C37" s="99"/>
      <c r="D37" s="68" t="s">
        <v>240</v>
      </c>
      <c r="E37" s="66">
        <v>0</v>
      </c>
      <c r="F37" s="66"/>
      <c r="G37" s="66"/>
      <c r="H37" s="66"/>
      <c r="J37" s="137"/>
    </row>
    <row r="38" spans="1:11">
      <c r="B38" s="101" t="s">
        <v>17</v>
      </c>
      <c r="C38" s="187"/>
      <c r="D38" s="68" t="s">
        <v>241</v>
      </c>
      <c r="E38" s="66">
        <v>1</v>
      </c>
      <c r="F38" s="360"/>
      <c r="G38" s="364"/>
      <c r="H38" s="360">
        <f>G38</f>
        <v>0</v>
      </c>
      <c r="J38" s="137"/>
    </row>
    <row r="39" spans="1:11">
      <c r="B39" s="101" t="s">
        <v>17</v>
      </c>
      <c r="C39" s="101"/>
      <c r="D39" s="68" t="s">
        <v>242</v>
      </c>
      <c r="E39" s="66">
        <v>2</v>
      </c>
      <c r="F39" s="360"/>
      <c r="G39" s="364"/>
      <c r="H39" s="360"/>
      <c r="J39" s="137"/>
    </row>
    <row r="40" spans="1:11">
      <c r="B40" s="101"/>
      <c r="C40" s="101"/>
      <c r="D40" s="68" t="s">
        <v>121</v>
      </c>
      <c r="E40" s="66">
        <v>3</v>
      </c>
      <c r="F40" s="360"/>
      <c r="G40" s="364"/>
      <c r="H40" s="360"/>
      <c r="J40" s="137"/>
    </row>
    <row r="41" spans="1:11">
      <c r="B41" s="101"/>
      <c r="C41" s="101"/>
      <c r="D41" s="65"/>
      <c r="E41" s="65"/>
      <c r="F41" s="65"/>
      <c r="G41" s="71"/>
      <c r="H41" s="188"/>
      <c r="J41" s="137"/>
    </row>
    <row r="42" spans="1:11" ht="15" customHeight="1">
      <c r="B42" s="224" t="s">
        <v>117</v>
      </c>
      <c r="C42" s="187"/>
      <c r="D42" s="279" t="s">
        <v>243</v>
      </c>
      <c r="E42" s="63">
        <v>0</v>
      </c>
      <c r="F42" s="65"/>
      <c r="G42" s="71"/>
      <c r="H42" s="188"/>
      <c r="J42" s="137"/>
    </row>
    <row r="43" spans="1:11">
      <c r="B43" s="225"/>
      <c r="C43" s="187"/>
      <c r="D43" s="68" t="s">
        <v>122</v>
      </c>
      <c r="E43" s="66">
        <v>1</v>
      </c>
      <c r="F43" s="360"/>
      <c r="G43" s="364"/>
      <c r="H43" s="360">
        <f>G43</f>
        <v>0</v>
      </c>
      <c r="J43" s="137"/>
    </row>
    <row r="44" spans="1:11">
      <c r="B44" s="101"/>
      <c r="C44" s="101"/>
      <c r="D44" s="68" t="s">
        <v>123</v>
      </c>
      <c r="E44" s="66">
        <v>2</v>
      </c>
      <c r="F44" s="360"/>
      <c r="G44" s="364"/>
      <c r="H44" s="360"/>
      <c r="J44" s="137"/>
    </row>
    <row r="45" spans="1:11">
      <c r="B45" s="101"/>
      <c r="C45" s="101"/>
      <c r="D45" s="68" t="s">
        <v>124</v>
      </c>
      <c r="E45" s="66">
        <v>3</v>
      </c>
      <c r="F45" s="360"/>
      <c r="G45" s="364"/>
      <c r="H45" s="360"/>
      <c r="J45" s="137"/>
    </row>
    <row r="46" spans="1:11">
      <c r="B46" s="101"/>
      <c r="C46" s="101"/>
      <c r="D46" s="68"/>
      <c r="E46" s="65"/>
      <c r="F46" s="65"/>
      <c r="G46" s="71"/>
      <c r="H46" s="188"/>
      <c r="J46" s="137"/>
    </row>
    <row r="47" spans="1:11">
      <c r="B47" s="101" t="s">
        <v>270</v>
      </c>
      <c r="C47" s="101"/>
      <c r="D47" s="279" t="s">
        <v>244</v>
      </c>
      <c r="E47" s="66">
        <v>0</v>
      </c>
      <c r="F47" s="360"/>
      <c r="G47" s="364"/>
      <c r="H47" s="360">
        <f>G47</f>
        <v>0</v>
      </c>
      <c r="J47" s="137"/>
    </row>
    <row r="48" spans="1:11">
      <c r="B48" s="101"/>
      <c r="C48" s="101"/>
      <c r="D48" s="65" t="s">
        <v>260</v>
      </c>
      <c r="E48" s="66">
        <v>1</v>
      </c>
      <c r="F48" s="360"/>
      <c r="G48" s="364"/>
      <c r="H48" s="360"/>
      <c r="J48" s="137"/>
    </row>
    <row r="49" spans="2:10">
      <c r="B49" s="101"/>
      <c r="C49" s="101"/>
      <c r="D49" s="65" t="s">
        <v>245</v>
      </c>
      <c r="E49" s="66">
        <v>2</v>
      </c>
      <c r="F49" s="360"/>
      <c r="G49" s="364"/>
      <c r="H49" s="360"/>
      <c r="J49" s="137"/>
    </row>
    <row r="50" spans="2:10">
      <c r="B50" s="101"/>
      <c r="C50" s="101"/>
      <c r="D50" s="65" t="s">
        <v>246</v>
      </c>
      <c r="E50" s="66">
        <v>3</v>
      </c>
      <c r="F50" s="360"/>
      <c r="G50" s="364"/>
      <c r="H50" s="360"/>
      <c r="J50" s="137"/>
    </row>
    <row r="51" spans="2:10">
      <c r="B51" s="103"/>
      <c r="C51" s="103"/>
      <c r="D51" s="72"/>
      <c r="E51" s="96"/>
      <c r="F51" s="72"/>
      <c r="G51" s="73"/>
      <c r="H51" s="73"/>
      <c r="J51" s="137"/>
    </row>
    <row r="52" spans="2:10">
      <c r="B52" s="99" t="s">
        <v>112</v>
      </c>
      <c r="C52" s="99"/>
      <c r="D52" s="65"/>
      <c r="E52" s="70"/>
      <c r="F52" s="65"/>
      <c r="G52" s="66"/>
      <c r="H52" s="66"/>
      <c r="J52" s="137"/>
    </row>
    <row r="53" spans="2:10" ht="29">
      <c r="B53" s="97" t="s">
        <v>125</v>
      </c>
      <c r="C53" s="99"/>
      <c r="D53" s="282" t="s">
        <v>250</v>
      </c>
      <c r="E53" s="218">
        <v>2</v>
      </c>
      <c r="F53" s="74" t="s">
        <v>126</v>
      </c>
      <c r="G53" s="189"/>
      <c r="H53" s="188">
        <f>G53</f>
        <v>0</v>
      </c>
      <c r="J53" s="137"/>
    </row>
    <row r="54" spans="2:10">
      <c r="B54" s="101"/>
      <c r="C54" s="101"/>
      <c r="D54" s="282"/>
      <c r="E54" s="219"/>
      <c r="F54" s="188"/>
      <c r="G54" s="71"/>
      <c r="H54" s="188"/>
      <c r="J54" s="137"/>
    </row>
    <row r="55" spans="2:10" ht="29.25" customHeight="1">
      <c r="B55" s="101" t="s">
        <v>127</v>
      </c>
      <c r="C55" s="101"/>
      <c r="D55" s="282" t="s">
        <v>251</v>
      </c>
      <c r="E55" s="218">
        <v>2</v>
      </c>
      <c r="F55" s="74" t="s">
        <v>126</v>
      </c>
      <c r="G55" s="189"/>
      <c r="H55" s="188">
        <f>G55</f>
        <v>0</v>
      </c>
      <c r="J55" s="137"/>
    </row>
    <row r="56" spans="2:10">
      <c r="B56" s="103"/>
      <c r="C56" s="103"/>
      <c r="D56" s="72"/>
      <c r="E56" s="229"/>
      <c r="F56" s="72"/>
      <c r="G56" s="73"/>
      <c r="H56" s="73"/>
      <c r="J56" s="137"/>
    </row>
    <row r="57" spans="2:10" ht="15.75" customHeight="1">
      <c r="B57" s="309" t="s">
        <v>252</v>
      </c>
      <c r="C57" s="99"/>
      <c r="D57" s="65"/>
      <c r="E57" s="139"/>
      <c r="F57" s="65"/>
      <c r="G57" s="66"/>
      <c r="H57" s="66"/>
      <c r="J57" s="137"/>
    </row>
    <row r="58" spans="2:10" ht="15.75" customHeight="1">
      <c r="B58" s="99"/>
      <c r="C58" s="99"/>
      <c r="D58" s="65"/>
      <c r="E58" s="139"/>
      <c r="F58" s="65"/>
      <c r="G58" s="66"/>
      <c r="H58" s="66"/>
      <c r="J58" s="137"/>
    </row>
    <row r="59" spans="2:10" ht="29.25" customHeight="1">
      <c r="B59" s="311" t="s">
        <v>128</v>
      </c>
      <c r="C59" s="99"/>
      <c r="D59" s="228" t="s">
        <v>292</v>
      </c>
      <c r="E59" s="188">
        <v>0</v>
      </c>
      <c r="F59" s="360"/>
      <c r="G59" s="364"/>
      <c r="H59" s="360">
        <f>G59</f>
        <v>0</v>
      </c>
      <c r="J59" s="137"/>
    </row>
    <row r="60" spans="2:10" ht="30" customHeight="1">
      <c r="B60" s="99"/>
      <c r="C60" s="99"/>
      <c r="D60" s="228" t="s">
        <v>293</v>
      </c>
      <c r="E60" s="188">
        <v>1</v>
      </c>
      <c r="F60" s="360"/>
      <c r="G60" s="364"/>
      <c r="H60" s="360"/>
      <c r="J60" s="137"/>
    </row>
    <row r="61" spans="2:10" ht="28.5" customHeight="1">
      <c r="B61" s="101"/>
      <c r="C61" s="101"/>
      <c r="D61" s="310" t="s">
        <v>294</v>
      </c>
      <c r="E61" s="188">
        <v>2</v>
      </c>
      <c r="F61" s="360"/>
      <c r="G61" s="364"/>
      <c r="H61" s="360"/>
      <c r="J61" s="137"/>
    </row>
    <row r="62" spans="2:10" ht="29">
      <c r="B62" s="101"/>
      <c r="C62" s="101"/>
      <c r="D62" s="228" t="s">
        <v>295</v>
      </c>
      <c r="E62" s="188">
        <v>3</v>
      </c>
      <c r="F62" s="360"/>
      <c r="G62" s="364"/>
      <c r="H62" s="360"/>
      <c r="J62" s="137"/>
    </row>
    <row r="63" spans="2:10">
      <c r="B63" s="101"/>
      <c r="C63" s="101"/>
      <c r="D63" s="228" t="s">
        <v>129</v>
      </c>
      <c r="E63" s="188">
        <v>5</v>
      </c>
      <c r="F63" s="360"/>
      <c r="G63" s="364"/>
      <c r="H63" s="360"/>
      <c r="J63" s="137"/>
    </row>
    <row r="64" spans="2:10">
      <c r="B64" s="101"/>
      <c r="C64" s="101"/>
      <c r="D64" s="228"/>
      <c r="E64" s="219"/>
      <c r="F64" s="219"/>
      <c r="G64" s="232"/>
      <c r="H64" s="219"/>
      <c r="J64" s="137"/>
    </row>
    <row r="65" spans="2:10">
      <c r="B65" s="103"/>
      <c r="C65" s="103"/>
      <c r="D65" s="280"/>
      <c r="E65" s="96"/>
      <c r="F65" s="72"/>
      <c r="G65" s="73"/>
      <c r="H65" s="73"/>
      <c r="J65" s="137"/>
    </row>
    <row r="66" spans="2:10">
      <c r="B66" s="99" t="s">
        <v>130</v>
      </c>
      <c r="C66" s="99"/>
      <c r="D66" s="68"/>
      <c r="E66" s="65"/>
      <c r="F66" s="65"/>
      <c r="G66" s="71"/>
      <c r="H66" s="188"/>
      <c r="J66" s="137"/>
    </row>
    <row r="67" spans="2:10" ht="101.5">
      <c r="B67" s="285" t="s">
        <v>131</v>
      </c>
      <c r="C67" s="101"/>
      <c r="D67" s="227" t="s">
        <v>261</v>
      </c>
      <c r="E67" s="190" t="s">
        <v>132</v>
      </c>
      <c r="F67" s="188"/>
      <c r="G67" s="189"/>
      <c r="H67" s="188">
        <f>G67</f>
        <v>0</v>
      </c>
      <c r="J67" s="137"/>
    </row>
    <row r="68" spans="2:10">
      <c r="B68" s="285"/>
      <c r="C68" s="101"/>
      <c r="D68" s="227"/>
      <c r="E68" s="246"/>
      <c r="F68" s="245"/>
      <c r="G68" s="232"/>
      <c r="H68" s="245"/>
      <c r="J68" s="137"/>
    </row>
    <row r="69" spans="2:10">
      <c r="B69" s="101" t="s">
        <v>17</v>
      </c>
      <c r="C69" s="101"/>
      <c r="D69" s="68"/>
      <c r="E69" s="188"/>
      <c r="F69" s="188"/>
      <c r="G69" s="71"/>
      <c r="H69" s="188"/>
      <c r="J69" s="137"/>
    </row>
    <row r="70" spans="2:10">
      <c r="B70" s="101" t="s">
        <v>253</v>
      </c>
      <c r="C70" s="101"/>
      <c r="D70" s="281" t="s">
        <v>134</v>
      </c>
      <c r="E70" s="366" t="s">
        <v>138</v>
      </c>
      <c r="F70" s="360"/>
      <c r="G70" s="364"/>
      <c r="H70" s="360">
        <f>G70</f>
        <v>0</v>
      </c>
      <c r="J70" s="137"/>
    </row>
    <row r="71" spans="2:10" ht="29">
      <c r="B71" s="101" t="s">
        <v>137</v>
      </c>
      <c r="C71" s="101"/>
      <c r="D71" s="281" t="s">
        <v>268</v>
      </c>
      <c r="E71" s="360"/>
      <c r="F71" s="360"/>
      <c r="G71" s="364"/>
      <c r="H71" s="360"/>
      <c r="J71" s="137"/>
    </row>
    <row r="72" spans="2:10" ht="15" customHeight="1">
      <c r="B72" s="101"/>
      <c r="C72" s="101"/>
      <c r="D72" s="281" t="s">
        <v>269</v>
      </c>
      <c r="E72" s="360"/>
      <c r="F72" s="360"/>
      <c r="G72" s="364"/>
      <c r="H72" s="360"/>
      <c r="J72" s="137"/>
    </row>
    <row r="73" spans="2:10" ht="15" customHeight="1">
      <c r="B73" s="101"/>
      <c r="C73" s="101"/>
      <c r="D73" s="282" t="s">
        <v>247</v>
      </c>
      <c r="E73" s="360"/>
      <c r="F73" s="360"/>
      <c r="G73" s="364"/>
      <c r="H73" s="360"/>
      <c r="J73" s="137"/>
    </row>
    <row r="74" spans="2:10" ht="15" customHeight="1">
      <c r="B74" s="101"/>
      <c r="C74" s="101"/>
      <c r="D74" s="282" t="s">
        <v>135</v>
      </c>
      <c r="E74" s="360"/>
      <c r="F74" s="360"/>
      <c r="G74" s="364"/>
      <c r="H74" s="360"/>
      <c r="J74" s="137"/>
    </row>
    <row r="75" spans="2:10">
      <c r="B75" s="101"/>
      <c r="C75" s="101"/>
      <c r="D75" s="281" t="s">
        <v>139</v>
      </c>
      <c r="E75" s="360"/>
      <c r="F75" s="360"/>
      <c r="G75" s="364"/>
      <c r="H75" s="360"/>
      <c r="J75" s="137"/>
    </row>
    <row r="76" spans="2:10" ht="15" customHeight="1">
      <c r="B76" s="101"/>
      <c r="C76" s="101"/>
      <c r="D76" s="283" t="s">
        <v>136</v>
      </c>
      <c r="E76" s="65"/>
      <c r="F76" s="65"/>
      <c r="G76" s="71"/>
      <c r="H76" s="188"/>
      <c r="J76" s="137"/>
    </row>
    <row r="77" spans="2:10" ht="15" customHeight="1">
      <c r="B77" s="101"/>
      <c r="C77" s="101"/>
      <c r="D77" s="283"/>
      <c r="E77" s="65"/>
      <c r="F77" s="65"/>
      <c r="G77" s="71"/>
      <c r="H77" s="222"/>
      <c r="J77" s="137"/>
    </row>
    <row r="78" spans="2:10" ht="15" customHeight="1">
      <c r="B78" s="101"/>
      <c r="C78" s="101"/>
      <c r="D78" s="283"/>
      <c r="E78" s="65"/>
      <c r="F78" s="65"/>
      <c r="G78" s="71"/>
      <c r="H78" s="222"/>
      <c r="J78" s="137"/>
    </row>
    <row r="79" spans="2:10" ht="29">
      <c r="B79" s="228" t="s">
        <v>140</v>
      </c>
      <c r="C79" s="187"/>
      <c r="D79" s="284" t="s">
        <v>166</v>
      </c>
      <c r="E79" s="218">
        <v>2</v>
      </c>
      <c r="F79" s="74" t="s">
        <v>126</v>
      </c>
      <c r="G79" s="189"/>
      <c r="H79" s="188">
        <f>G79</f>
        <v>0</v>
      </c>
      <c r="J79" s="137"/>
    </row>
    <row r="80" spans="2:10">
      <c r="B80" s="228"/>
      <c r="C80" s="220"/>
      <c r="D80" s="284"/>
      <c r="E80" s="218"/>
      <c r="F80" s="74"/>
      <c r="G80" s="231"/>
      <c r="H80" s="219"/>
      <c r="J80" s="137"/>
    </row>
    <row r="81" spans="1:10">
      <c r="B81" s="103"/>
      <c r="C81" s="103"/>
      <c r="D81" s="72"/>
      <c r="E81" s="96"/>
      <c r="F81" s="72"/>
      <c r="G81" s="73"/>
      <c r="H81" s="73"/>
      <c r="J81" s="137"/>
    </row>
    <row r="82" spans="1:10" ht="29">
      <c r="B82" s="99" t="s">
        <v>169</v>
      </c>
      <c r="C82" s="99"/>
      <c r="D82" s="65"/>
      <c r="E82" s="70"/>
      <c r="F82" s="65"/>
      <c r="G82" s="66"/>
      <c r="H82" s="66"/>
      <c r="J82" s="137"/>
    </row>
    <row r="83" spans="1:10" ht="29">
      <c r="B83" s="101" t="s">
        <v>168</v>
      </c>
      <c r="C83" s="99"/>
      <c r="D83" s="226" t="s">
        <v>271</v>
      </c>
      <c r="E83" s="218">
        <v>1</v>
      </c>
      <c r="F83" s="74" t="s">
        <v>142</v>
      </c>
      <c r="G83" s="189"/>
      <c r="H83" s="230">
        <f>E83*G83</f>
        <v>0</v>
      </c>
      <c r="J83" s="137"/>
    </row>
    <row r="84" spans="1:10">
      <c r="B84" s="99"/>
      <c r="C84" s="99"/>
      <c r="D84" s="226"/>
      <c r="E84" s="244"/>
      <c r="F84" s="74"/>
      <c r="G84" s="232"/>
      <c r="H84" s="230"/>
      <c r="J84" s="137"/>
    </row>
    <row r="85" spans="1:10" ht="29">
      <c r="B85" s="101" t="s">
        <v>170</v>
      </c>
      <c r="C85" s="101"/>
      <c r="D85" s="226" t="s">
        <v>254</v>
      </c>
      <c r="E85" s="218">
        <v>1</v>
      </c>
      <c r="F85" s="74" t="s">
        <v>142</v>
      </c>
      <c r="G85" s="189"/>
      <c r="H85" s="230">
        <f>E85*G85</f>
        <v>0</v>
      </c>
      <c r="J85" s="137"/>
    </row>
    <row r="86" spans="1:10">
      <c r="B86" s="101"/>
      <c r="C86" s="101"/>
      <c r="D86" s="226"/>
      <c r="E86" s="218"/>
      <c r="F86" s="74"/>
      <c r="G86" s="232"/>
      <c r="H86" s="219"/>
      <c r="J86" s="137"/>
    </row>
    <row r="87" spans="1:10">
      <c r="B87" s="103"/>
      <c r="C87" s="103"/>
      <c r="D87" s="72"/>
      <c r="E87" s="96"/>
      <c r="F87" s="72"/>
      <c r="G87" s="73"/>
      <c r="H87" s="73"/>
      <c r="J87" s="137"/>
    </row>
    <row r="88" spans="1:10">
      <c r="B88" s="99" t="s">
        <v>119</v>
      </c>
      <c r="C88" s="99"/>
      <c r="D88" s="65"/>
      <c r="E88" s="65"/>
      <c r="F88" s="65"/>
      <c r="G88" s="84"/>
      <c r="H88" s="139">
        <f>H38+H43+H47+H53+H55+H59+H67+H70+H79+H83+H85</f>
        <v>0</v>
      </c>
      <c r="J88" s="137"/>
    </row>
    <row r="89" spans="1:10">
      <c r="B89" s="101"/>
      <c r="C89" s="101"/>
      <c r="D89" s="65"/>
      <c r="E89" s="65"/>
      <c r="F89" s="65"/>
      <c r="G89" s="84"/>
      <c r="H89" s="188"/>
      <c r="J89" s="137"/>
    </row>
    <row r="90" spans="1:10" ht="29">
      <c r="B90" s="99" t="s">
        <v>145</v>
      </c>
      <c r="C90" s="99"/>
      <c r="D90" s="65"/>
      <c r="E90" s="66"/>
      <c r="F90" s="66"/>
      <c r="G90" s="84"/>
      <c r="H90" s="322" t="str">
        <f>IF(H88&lt;G96,E95,IF(H88&lt;G97,E96,E97))</f>
        <v>RPC jusqu’à 90 %, portion résid.</v>
      </c>
      <c r="J90" s="137"/>
    </row>
    <row r="91" spans="1:10" s="59" customFormat="1" ht="6" customHeight="1">
      <c r="B91" s="97"/>
      <c r="C91" s="97"/>
      <c r="D91"/>
      <c r="I91"/>
      <c r="J91" s="137"/>
    </row>
    <row r="92" spans="1:10" s="59" customFormat="1" ht="6" customHeight="1">
      <c r="A92" s="137"/>
      <c r="B92" s="87"/>
      <c r="C92" s="87"/>
      <c r="D92" s="87"/>
      <c r="E92" s="87"/>
      <c r="F92" s="87"/>
      <c r="G92" s="87"/>
      <c r="H92" s="87"/>
      <c r="I92" s="87"/>
      <c r="J92" s="137"/>
    </row>
    <row r="94" spans="1:10" s="59" customFormat="1">
      <c r="A94" s="164"/>
      <c r="B94" s="164"/>
      <c r="C94" s="97"/>
      <c r="D94" s="248" t="s">
        <v>144</v>
      </c>
      <c r="E94" s="365" t="s">
        <v>276</v>
      </c>
      <c r="F94" s="365"/>
      <c r="G94" s="59" t="s">
        <v>255</v>
      </c>
      <c r="H94" s="59" t="s">
        <v>256</v>
      </c>
      <c r="I94"/>
      <c r="J94"/>
    </row>
    <row r="95" spans="1:10" s="59" customFormat="1">
      <c r="A95" s="164"/>
      <c r="B95" s="164"/>
      <c r="C95" s="97"/>
      <c r="D95">
        <v>3</v>
      </c>
      <c r="E95" s="365" t="s">
        <v>277</v>
      </c>
      <c r="F95" s="365"/>
      <c r="G95" s="59">
        <v>0</v>
      </c>
      <c r="H95" s="59">
        <v>9</v>
      </c>
      <c r="I95"/>
      <c r="J95"/>
    </row>
    <row r="96" spans="1:10" s="59" customFormat="1">
      <c r="B96" s="97"/>
      <c r="C96" s="97"/>
      <c r="D96">
        <v>2</v>
      </c>
      <c r="E96" s="365" t="s">
        <v>278</v>
      </c>
      <c r="F96" s="365"/>
      <c r="G96" s="59">
        <v>10</v>
      </c>
      <c r="H96" s="59">
        <v>18</v>
      </c>
      <c r="I96"/>
      <c r="J96"/>
    </row>
    <row r="97" spans="1:8">
      <c r="A97" s="167"/>
      <c r="B97" s="168"/>
      <c r="D97">
        <v>1</v>
      </c>
      <c r="E97" s="365" t="s">
        <v>279</v>
      </c>
      <c r="F97" s="365"/>
      <c r="G97" s="59">
        <v>19</v>
      </c>
      <c r="H97" s="59">
        <v>25</v>
      </c>
    </row>
    <row r="98" spans="1:8">
      <c r="A98" s="167"/>
      <c r="B98" s="168"/>
    </row>
    <row r="99" spans="1:8" hidden="1">
      <c r="G99" s="78"/>
    </row>
    <row r="100" spans="1:8" hidden="1">
      <c r="E100" s="77" t="s">
        <v>143</v>
      </c>
      <c r="F100" s="78">
        <v>0</v>
      </c>
      <c r="G100" s="78">
        <v>0</v>
      </c>
      <c r="H100" s="78">
        <v>0</v>
      </c>
    </row>
    <row r="101" spans="1:8" hidden="1">
      <c r="E101" s="77" t="s">
        <v>141</v>
      </c>
      <c r="F101" s="78">
        <v>1</v>
      </c>
      <c r="G101" s="78">
        <v>2</v>
      </c>
      <c r="H101" s="78">
        <v>1</v>
      </c>
    </row>
    <row r="102" spans="1:8" hidden="1">
      <c r="E102" s="78"/>
      <c r="F102" s="78">
        <v>2</v>
      </c>
      <c r="G102" s="78"/>
      <c r="H102" s="78">
        <v>2</v>
      </c>
    </row>
    <row r="103" spans="1:8" hidden="1">
      <c r="E103" s="78"/>
      <c r="F103" s="78"/>
      <c r="G103" s="78"/>
      <c r="H103" s="78">
        <v>3</v>
      </c>
    </row>
    <row r="104" spans="1:8" hidden="1">
      <c r="E104" s="78"/>
      <c r="F104" s="78"/>
      <c r="G104" s="78"/>
      <c r="H104" s="78">
        <v>5</v>
      </c>
    </row>
    <row r="105" spans="1:8" hidden="1">
      <c r="E105" s="78"/>
      <c r="F105" s="78"/>
      <c r="G105" s="78"/>
      <c r="H105" s="78"/>
    </row>
    <row r="106" spans="1:8" hidden="1">
      <c r="F106" s="59" t="s">
        <v>255</v>
      </c>
      <c r="G106" s="59" t="s">
        <v>256</v>
      </c>
    </row>
    <row r="107" spans="1:8" hidden="1">
      <c r="E107" s="53">
        <v>0.9</v>
      </c>
      <c r="F107" s="59">
        <v>0</v>
      </c>
      <c r="G107" s="59">
        <v>9</v>
      </c>
    </row>
    <row r="108" spans="1:8" hidden="1">
      <c r="E108" s="53">
        <v>0.95</v>
      </c>
      <c r="F108" s="59">
        <v>10</v>
      </c>
      <c r="G108" s="59">
        <v>18</v>
      </c>
    </row>
    <row r="109" spans="1:8">
      <c r="E109" s="53"/>
      <c r="F109" s="59"/>
    </row>
  </sheetData>
  <sheetProtection algorithmName="SHA-512" hashValue="PgSFBl7WL/8dYqXipK5BfwssoKaQD0SBbSi3Eg5xd36wEmexUi0JhhkaznuUaFpZAkxCdKUTWx6TS+wU1u8pXg==" saltValue="6G9iouP/YmB3uJwfnRasIw==" spinCount="100000" sheet="1" selectLockedCells="1"/>
  <mergeCells count="29">
    <mergeCell ref="E94:F94"/>
    <mergeCell ref="E95:F95"/>
    <mergeCell ref="E96:F96"/>
    <mergeCell ref="E97:F97"/>
    <mergeCell ref="F47:F50"/>
    <mergeCell ref="E70:E75"/>
    <mergeCell ref="F70:F75"/>
    <mergeCell ref="G70:G75"/>
    <mergeCell ref="H70:H75"/>
    <mergeCell ref="G38:G40"/>
    <mergeCell ref="H38:H40"/>
    <mergeCell ref="F43:F45"/>
    <mergeCell ref="G43:G45"/>
    <mergeCell ref="H43:H45"/>
    <mergeCell ref="G47:G50"/>
    <mergeCell ref="H47:H50"/>
    <mergeCell ref="F59:F63"/>
    <mergeCell ref="G59:G63"/>
    <mergeCell ref="H59:H63"/>
    <mergeCell ref="D16:E16"/>
    <mergeCell ref="D19:E19"/>
    <mergeCell ref="D21:E21"/>
    <mergeCell ref="D23:E23"/>
    <mergeCell ref="F38:F40"/>
    <mergeCell ref="D26:E26"/>
    <mergeCell ref="D27:E27"/>
    <mergeCell ref="D30:E30"/>
    <mergeCell ref="B34:D34"/>
    <mergeCell ref="D32:E32"/>
  </mergeCells>
  <dataValidations count="7">
    <dataValidation type="list" allowBlank="1" showInputMessage="1" showErrorMessage="1" sqref="G38:G40 G43:G45 G47:G50" xr:uid="{00000000-0002-0000-0500-000000000000}">
      <formula1>$H$99:$H$103</formula1>
    </dataValidation>
    <dataValidation type="list" allowBlank="1" showInputMessage="1" showErrorMessage="1" sqref="G67 G83 G85" xr:uid="{00000000-0002-0000-0500-000001000000}">
      <formula1>$F$99:$F$101</formula1>
    </dataValidation>
    <dataValidation type="list" allowBlank="1" showInputMessage="1" showErrorMessage="1" sqref="G59:G63" xr:uid="{00000000-0002-0000-0500-000002000000}">
      <formula1>$H$99:$H$104</formula1>
    </dataValidation>
    <dataValidation type="list" allowBlank="1" showInputMessage="1" sqref="G26" xr:uid="{00000000-0002-0000-0500-000003000000}">
      <formula1>$E$99:$E$101</formula1>
    </dataValidation>
    <dataValidation type="list" allowBlank="1" showInputMessage="1" showErrorMessage="1" sqref="G30 G23 G19 G21 G28" xr:uid="{00000000-0002-0000-0500-000004000000}">
      <formula1>$E$99:$E$101</formula1>
    </dataValidation>
    <dataValidation type="list" allowBlank="1" showInputMessage="1" showErrorMessage="1" sqref="G70:G75" xr:uid="{00000000-0002-0000-0500-000005000000}">
      <formula1>$H$99:$H$102</formula1>
    </dataValidation>
    <dataValidation type="list" allowBlank="1" showInputMessage="1" showErrorMessage="1" sqref="G53 G55 G79" xr:uid="{00000000-0002-0000-0500-000006000000}">
      <formula1>$G$99:$G$101</formula1>
    </dataValidation>
  </dataValidations>
  <pageMargins left="0.70866141732283472" right="0.70866141732283472" top="0.74803149606299213" bottom="0.74803149606299213" header="0.31496062992125984" footer="0.31496062992125984"/>
  <pageSetup scale="45" fitToHeight="0" orientation="portrait" r:id="rId1"/>
  <ignoredErrors>
    <ignoredError sqref="G2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gotoSheet_NonResidential">
                <anchor moveWithCells="1" sizeWithCells="1">
                  <from>
                    <xdr:col>1</xdr:col>
                    <xdr:colOff>25400</xdr:colOff>
                    <xdr:row>93</xdr:row>
                    <xdr:rowOff>25400</xdr:rowOff>
                  </from>
                  <to>
                    <xdr:col>1</xdr:col>
                    <xdr:colOff>863600</xdr:colOff>
                    <xdr:row>94</xdr:row>
                    <xdr:rowOff>177800</xdr:rowOff>
                  </to>
                </anchor>
              </controlPr>
            </control>
          </mc:Choice>
        </mc:AlternateContent>
        <mc:AlternateContent xmlns:mc="http://schemas.openxmlformats.org/markup-compatibility/2006">
          <mc:Choice Requires="x14">
            <control shapeId="1028" r:id="rId5" name="Button 4">
              <controlPr defaultSize="0" print="0" autoFill="0" autoPict="0" macro="[0]!resetThisPage">
                <anchor moveWithCells="1" sizeWithCells="1">
                  <from>
                    <xdr:col>1</xdr:col>
                    <xdr:colOff>0</xdr:colOff>
                    <xdr:row>96</xdr:row>
                    <xdr:rowOff>38100</xdr:rowOff>
                  </from>
                  <to>
                    <xdr:col>1</xdr:col>
                    <xdr:colOff>838200</xdr:colOff>
                    <xdr:row>97</xdr:row>
                    <xdr:rowOff>190500</xdr:rowOff>
                  </to>
                </anchor>
              </controlPr>
            </control>
          </mc:Choice>
        </mc:AlternateContent>
        <mc:AlternateContent xmlns:mc="http://schemas.openxmlformats.org/markup-compatibility/2006">
          <mc:Choice Requires="x14">
            <control shapeId="1031" r:id="rId6" name="Button 7">
              <controlPr defaultSize="0" print="0" autoFill="0" autoPict="0" macro="[0]!resetAll">
                <anchor moveWithCells="1" sizeWithCells="1">
                  <from>
                    <xdr:col>1</xdr:col>
                    <xdr:colOff>1016000</xdr:colOff>
                    <xdr:row>96</xdr:row>
                    <xdr:rowOff>38100</xdr:rowOff>
                  </from>
                  <to>
                    <xdr:col>1</xdr:col>
                    <xdr:colOff>1854200</xdr:colOff>
                    <xdr:row>97</xdr:row>
                    <xdr:rowOff>190500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I1900"/>
  <sheetViews>
    <sheetView showGridLines="0" showZeros="0" workbookViewId="0">
      <selection activeCell="E20" sqref="E20"/>
    </sheetView>
  </sheetViews>
  <sheetFormatPr defaultColWidth="9.08984375" defaultRowHeight="13"/>
  <cols>
    <col min="1" max="1" width="5.54296875" style="6" customWidth="1"/>
    <col min="2" max="2" width="7.81640625" style="6" customWidth="1"/>
    <col min="3" max="3" width="7.81640625" style="8" customWidth="1"/>
    <col min="4" max="4" width="8.54296875" style="8" customWidth="1"/>
    <col min="5" max="5" width="11.08984375" style="7" customWidth="1"/>
    <col min="6" max="6" width="11.54296875" style="6" customWidth="1"/>
    <col min="7" max="7" width="12.453125" style="6" customWidth="1"/>
    <col min="8" max="8" width="11.453125" style="6" customWidth="1"/>
    <col min="9" max="9" width="12.81640625" style="5" customWidth="1"/>
    <col min="10" max="10" width="7.6328125" style="4" customWidth="1"/>
    <col min="11" max="254" width="10.6328125" style="4" customWidth="1"/>
    <col min="255" max="16384" width="9.08984375" style="4"/>
  </cols>
  <sheetData>
    <row r="1" spans="1:9">
      <c r="A1" s="30" t="s">
        <v>18</v>
      </c>
      <c r="B1" s="11"/>
      <c r="C1" s="13"/>
      <c r="D1" s="13"/>
      <c r="E1" s="12"/>
      <c r="F1" s="11"/>
      <c r="G1" s="11"/>
      <c r="H1" s="11"/>
      <c r="I1" s="10"/>
    </row>
    <row r="2" spans="1:9">
      <c r="A2" s="11" t="s">
        <v>17</v>
      </c>
      <c r="B2" s="11" t="s">
        <v>17</v>
      </c>
      <c r="C2" s="17" t="s">
        <v>17</v>
      </c>
      <c r="D2" s="29"/>
      <c r="E2" s="12"/>
      <c r="F2" s="11"/>
      <c r="G2" s="9"/>
      <c r="H2" s="9"/>
      <c r="I2" s="10"/>
    </row>
    <row r="3" spans="1:9" ht="12.5">
      <c r="A3" s="9"/>
      <c r="B3" s="9"/>
      <c r="C3" s="16" t="s">
        <v>2</v>
      </c>
      <c r="D3" s="13"/>
      <c r="E3" s="28">
        <v>20000000</v>
      </c>
      <c r="F3" s="26"/>
      <c r="G3" s="21" t="s">
        <v>16</v>
      </c>
      <c r="H3" s="25">
        <f>E6*E7*E9</f>
        <v>3948787.8802890573</v>
      </c>
      <c r="I3" s="17" t="s">
        <v>15</v>
      </c>
    </row>
    <row r="4" spans="1:9" ht="12.5">
      <c r="A4" s="9"/>
      <c r="B4" s="9"/>
      <c r="C4" s="16" t="s">
        <v>3</v>
      </c>
      <c r="D4" s="14"/>
      <c r="E4" s="27">
        <v>2.5000000000000001E-2</v>
      </c>
      <c r="F4" s="26"/>
      <c r="G4" s="21"/>
      <c r="H4" s="25"/>
      <c r="I4" s="10"/>
    </row>
    <row r="5" spans="1:9" ht="12.5">
      <c r="A5" s="9"/>
      <c r="B5" s="9"/>
      <c r="C5" s="16" t="s">
        <v>14</v>
      </c>
      <c r="D5" s="14"/>
      <c r="E5" s="23">
        <v>2</v>
      </c>
      <c r="F5" s="17" t="s">
        <v>13</v>
      </c>
      <c r="G5" s="12"/>
      <c r="H5" s="11"/>
      <c r="I5" s="10"/>
    </row>
    <row r="6" spans="1:9" ht="12.5">
      <c r="A6" s="9"/>
      <c r="B6" s="9"/>
      <c r="C6" s="16" t="s">
        <v>12</v>
      </c>
      <c r="D6" s="14"/>
      <c r="E6" s="23">
        <v>12</v>
      </c>
      <c r="F6" s="17" t="s">
        <v>11</v>
      </c>
      <c r="G6" s="12"/>
      <c r="H6" s="9"/>
      <c r="I6" s="10"/>
    </row>
    <row r="7" spans="1:9" ht="12.5">
      <c r="A7" s="9"/>
      <c r="B7" s="9"/>
      <c r="C7" s="16" t="s">
        <v>10</v>
      </c>
      <c r="D7" s="14"/>
      <c r="E7" s="24">
        <v>5</v>
      </c>
      <c r="F7" s="17" t="s">
        <v>9</v>
      </c>
      <c r="G7" s="12"/>
      <c r="H7" s="9"/>
      <c r="I7" s="10"/>
    </row>
    <row r="8" spans="1:9" ht="12.5">
      <c r="A8" s="9"/>
      <c r="B8" s="9"/>
      <c r="C8" s="16" t="s">
        <v>1</v>
      </c>
      <c r="D8" s="14"/>
      <c r="E8" s="23">
        <v>40</v>
      </c>
      <c r="F8" s="13" t="s">
        <v>9</v>
      </c>
      <c r="G8" s="12"/>
      <c r="H8" s="11"/>
      <c r="I8" s="10"/>
    </row>
    <row r="9" spans="1:9" ht="12.5">
      <c r="A9" s="9"/>
      <c r="B9" s="9"/>
      <c r="C9" s="16" t="s">
        <v>8</v>
      </c>
      <c r="D9" s="14"/>
      <c r="E9" s="22">
        <f>(E3*(((1+E4/E5)^(E5/E6))-1)/((1-(1+E4/E5)^(-E8*E5))))</f>
        <v>65813.131338150954</v>
      </c>
      <c r="F9" s="21" t="s">
        <v>7</v>
      </c>
      <c r="G9" s="15">
        <v>0</v>
      </c>
      <c r="H9" s="9"/>
      <c r="I9" s="10"/>
    </row>
    <row r="10" spans="1:9" ht="12.5">
      <c r="A10" s="9"/>
      <c r="B10" s="9"/>
      <c r="C10" s="16" t="s">
        <v>6</v>
      </c>
      <c r="D10" s="14"/>
      <c r="E10" s="20">
        <f>((1+E4/E5)^(E5/E6))-1</f>
        <v>2.0725647992037022E-3</v>
      </c>
      <c r="F10" s="9"/>
      <c r="G10" s="19" t="s">
        <v>5</v>
      </c>
      <c r="H10" s="18"/>
      <c r="I10" s="10"/>
    </row>
    <row r="11" spans="1:9" ht="12.5">
      <c r="A11" s="11"/>
      <c r="B11" s="17"/>
      <c r="C11" s="16" t="s">
        <v>4</v>
      </c>
      <c r="D11" s="13"/>
      <c r="E11" s="15">
        <f>E9*12</f>
        <v>789757.5760578115</v>
      </c>
      <c r="F11" s="11"/>
      <c r="G11" s="11"/>
      <c r="H11" s="11"/>
      <c r="I11" s="10"/>
    </row>
    <row r="12" spans="1:9" ht="12.5">
      <c r="A12" s="11"/>
      <c r="B12" s="17"/>
      <c r="C12" s="16"/>
      <c r="D12" s="13"/>
      <c r="E12" s="15"/>
      <c r="F12" s="11"/>
      <c r="G12" s="11"/>
      <c r="H12" s="11"/>
      <c r="I12" s="10"/>
    </row>
    <row r="13" spans="1:9" s="9" customFormat="1" ht="12.5"/>
    <row r="14" spans="1:9" s="9" customFormat="1" ht="12.5"/>
    <row r="15" spans="1:9" s="9" customFormat="1" ht="12.5"/>
    <row r="16" spans="1:9" s="9" customFormat="1" ht="12.5"/>
    <row r="17" s="9" customFormat="1" ht="12.5"/>
    <row r="18" s="9" customFormat="1" ht="12.5"/>
    <row r="19" s="9" customFormat="1" ht="12.5"/>
    <row r="20" s="9" customFormat="1" ht="12.5"/>
    <row r="21" s="9" customFormat="1" ht="12.5"/>
    <row r="22" s="9" customFormat="1" ht="12.5"/>
    <row r="23" s="9" customFormat="1" ht="12.5"/>
    <row r="24" s="9" customFormat="1" ht="12.5"/>
    <row r="25" s="9" customFormat="1" ht="12.5"/>
    <row r="26" s="9" customFormat="1" ht="12.5"/>
    <row r="27" s="9" customFormat="1" ht="12.5"/>
    <row r="28" s="9" customFormat="1" ht="12.5"/>
    <row r="29" s="9" customFormat="1" ht="12.5"/>
    <row r="30" s="9" customFormat="1" ht="12.5"/>
    <row r="31" s="9" customFormat="1" ht="12.5"/>
    <row r="32" s="9" customFormat="1" ht="12.5"/>
    <row r="33" s="9" customFormat="1" ht="12.5"/>
    <row r="34" s="9" customFormat="1" ht="12.5"/>
    <row r="35" s="9" customFormat="1" ht="12.5"/>
    <row r="36" s="9" customFormat="1" ht="12.5"/>
    <row r="37" s="9" customFormat="1" ht="12.5"/>
    <row r="38" s="9" customFormat="1" ht="12.5"/>
    <row r="39" s="9" customFormat="1" ht="12.5"/>
    <row r="40" s="9" customFormat="1" ht="12.5"/>
    <row r="41" s="9" customFormat="1" ht="12.5"/>
    <row r="42" s="9" customFormat="1" ht="12.5"/>
    <row r="43" s="9" customFormat="1" ht="12.5"/>
    <row r="44" s="9" customFormat="1" ht="12.5"/>
    <row r="45" s="9" customFormat="1" ht="12.5"/>
    <row r="46" s="9" customFormat="1" ht="12.5"/>
    <row r="47" s="9" customFormat="1" ht="12.5"/>
    <row r="48" s="9" customFormat="1" ht="12.5"/>
    <row r="49" s="9" customFormat="1" ht="12.5"/>
    <row r="50" s="9" customFormat="1" ht="12.5"/>
    <row r="51" s="9" customFormat="1" ht="12.5"/>
    <row r="52" s="9" customFormat="1" ht="12.5"/>
    <row r="53" s="9" customFormat="1" ht="12.5"/>
    <row r="54" s="9" customFormat="1" ht="12.5"/>
    <row r="55" s="9" customFormat="1" ht="12.5"/>
    <row r="56" s="9" customFormat="1" ht="12.5"/>
    <row r="57" s="9" customFormat="1" ht="12.5"/>
    <row r="58" s="9" customFormat="1" ht="12.5"/>
    <row r="59" s="9" customFormat="1" ht="12.5"/>
    <row r="60" s="9" customFormat="1" ht="12.5"/>
    <row r="61" s="9" customFormat="1" ht="12.5"/>
    <row r="62" s="9" customFormat="1" ht="12.5"/>
    <row r="63" s="9" customFormat="1" ht="12.5"/>
    <row r="64" s="9" customFormat="1" ht="12.5"/>
    <row r="65" s="9" customFormat="1" ht="12.5"/>
    <row r="66" s="9" customFormat="1" ht="12.5"/>
    <row r="67" s="9" customFormat="1" ht="12.5"/>
    <row r="68" s="9" customFormat="1" ht="12.5"/>
    <row r="69" s="9" customFormat="1" ht="12.5"/>
    <row r="70" s="9" customFormat="1" ht="12.5"/>
    <row r="71" s="9" customFormat="1" ht="12.5"/>
    <row r="72" s="9" customFormat="1" ht="12.5"/>
    <row r="73" s="9" customFormat="1" ht="12.5"/>
    <row r="74" s="9" customFormat="1" ht="12.5"/>
    <row r="75" s="9" customFormat="1" ht="12.5"/>
    <row r="76" s="9" customFormat="1" ht="12.5"/>
    <row r="77" s="9" customFormat="1" ht="12.5"/>
    <row r="78" s="9" customFormat="1" ht="12.5"/>
    <row r="79" s="9" customFormat="1" ht="12.5"/>
    <row r="80" s="9" customFormat="1" ht="12.5"/>
    <row r="81" s="9" customFormat="1" ht="12.5"/>
    <row r="82" s="9" customFormat="1" ht="12.5"/>
    <row r="83" s="9" customFormat="1" ht="12.5"/>
    <row r="84" s="9" customFormat="1" ht="12.5"/>
    <row r="85" s="9" customFormat="1" ht="12.5"/>
    <row r="86" s="9" customFormat="1" ht="12.5"/>
    <row r="87" s="9" customFormat="1" ht="12.5"/>
    <row r="88" s="9" customFormat="1" ht="12.5"/>
    <row r="89" s="9" customFormat="1" ht="12.5"/>
    <row r="90" s="9" customFormat="1" ht="12.5"/>
    <row r="91" s="9" customFormat="1" ht="12.5"/>
    <row r="92" s="9" customFormat="1" ht="12.5"/>
    <row r="93" s="9" customFormat="1" ht="12.5"/>
    <row r="94" s="9" customFormat="1" ht="12.5"/>
    <row r="95" s="9" customFormat="1" ht="12.5"/>
    <row r="96" s="9" customFormat="1" ht="12.5"/>
    <row r="97" s="9" customFormat="1" ht="12.5"/>
    <row r="98" s="9" customFormat="1" ht="12.5"/>
    <row r="99" s="9" customFormat="1" ht="12.5"/>
    <row r="100" s="9" customFormat="1" ht="12.5"/>
    <row r="101" s="9" customFormat="1" ht="12.5"/>
    <row r="102" s="9" customFormat="1" ht="12.5"/>
    <row r="103" s="9" customFormat="1" ht="12.5"/>
    <row r="104" s="9" customFormat="1" ht="12.5"/>
    <row r="105" s="9" customFormat="1" ht="12.5"/>
    <row r="106" s="9" customFormat="1" ht="12.5"/>
    <row r="107" s="9" customFormat="1" ht="12.5"/>
    <row r="108" s="9" customFormat="1" ht="12.5"/>
    <row r="109" s="9" customFormat="1" ht="12.5"/>
    <row r="110" s="9" customFormat="1" ht="12.5"/>
    <row r="111" s="9" customFormat="1" ht="12.5"/>
    <row r="112" s="9" customFormat="1" ht="12.5"/>
    <row r="113" s="9" customFormat="1" ht="12.5"/>
    <row r="114" s="9" customFormat="1" ht="12.5"/>
    <row r="115" s="9" customFormat="1" ht="12.5"/>
    <row r="116" s="9" customFormat="1" ht="12.5"/>
    <row r="117" s="9" customFormat="1" ht="12.5"/>
    <row r="118" s="9" customFormat="1" ht="12.5"/>
    <row r="119" s="9" customFormat="1" ht="12.5"/>
    <row r="120" s="9" customFormat="1" ht="12.5"/>
    <row r="121" s="9" customFormat="1" ht="12.5"/>
    <row r="122" s="9" customFormat="1" ht="12.5"/>
    <row r="123" s="9" customFormat="1" ht="12.5"/>
    <row r="124" s="9" customFormat="1" ht="12.5"/>
    <row r="125" s="9" customFormat="1" ht="12.5"/>
    <row r="126" s="9" customFormat="1" ht="12.5"/>
    <row r="127" s="9" customFormat="1" ht="12.5"/>
    <row r="128" s="9" customFormat="1" ht="12.5"/>
    <row r="129" s="9" customFormat="1" ht="12.5"/>
    <row r="130" s="9" customFormat="1" ht="12.5"/>
    <row r="131" s="9" customFormat="1" ht="12.5"/>
    <row r="132" s="9" customFormat="1" ht="12.5"/>
    <row r="133" s="9" customFormat="1" ht="12.5"/>
    <row r="134" s="9" customFormat="1" ht="12.5"/>
    <row r="135" s="9" customFormat="1" ht="12.5"/>
    <row r="136" s="9" customFormat="1" ht="12.5"/>
    <row r="137" s="9" customFormat="1" ht="12.5"/>
    <row r="138" s="9" customFormat="1" ht="12.5"/>
    <row r="139" s="9" customFormat="1" ht="12.5"/>
    <row r="140" s="9" customFormat="1" ht="12.5"/>
    <row r="141" s="9" customFormat="1" ht="12.5"/>
    <row r="142" s="9" customFormat="1" ht="12.5"/>
    <row r="143" s="9" customFormat="1" ht="12.5"/>
    <row r="144" s="9" customFormat="1" ht="12.5"/>
    <row r="145" s="9" customFormat="1" ht="12.5"/>
    <row r="146" s="9" customFormat="1" ht="12.5"/>
    <row r="147" s="9" customFormat="1" ht="12.5"/>
    <row r="148" s="9" customFormat="1" ht="12.5"/>
    <row r="149" s="9" customFormat="1" ht="12.5"/>
    <row r="150" s="9" customFormat="1" ht="12.5"/>
    <row r="151" s="9" customFormat="1" ht="12.5"/>
    <row r="152" s="9" customFormat="1" ht="12.5"/>
    <row r="153" s="9" customFormat="1" ht="12.5"/>
    <row r="154" s="9" customFormat="1" ht="12.5"/>
    <row r="155" s="9" customFormat="1" ht="12.5"/>
    <row r="156" s="9" customFormat="1" ht="12.5"/>
    <row r="157" s="9" customFormat="1" ht="12.5"/>
    <row r="158" s="9" customFormat="1" ht="12.5"/>
    <row r="159" s="9" customFormat="1" ht="12.5"/>
    <row r="160" s="9" customFormat="1" ht="12.5"/>
    <row r="161" s="9" customFormat="1" ht="12.5"/>
    <row r="162" s="9" customFormat="1" ht="12.5"/>
    <row r="163" s="9" customFormat="1" ht="12.5"/>
    <row r="164" s="9" customFormat="1" ht="12.5"/>
    <row r="165" s="9" customFormat="1" ht="12.5"/>
    <row r="166" s="9" customFormat="1" ht="12.5"/>
    <row r="167" s="9" customFormat="1" ht="12.5"/>
    <row r="168" s="9" customFormat="1" ht="12.5"/>
    <row r="169" s="9" customFormat="1" ht="12.5"/>
    <row r="170" s="9" customFormat="1" ht="12.5"/>
    <row r="171" s="9" customFormat="1" ht="12.5"/>
    <row r="172" s="9" customFormat="1" ht="12.5"/>
    <row r="173" s="9" customFormat="1" ht="12.5"/>
    <row r="174" s="9" customFormat="1" ht="12.5"/>
    <row r="175" s="9" customFormat="1" ht="12.5"/>
    <row r="176" s="9" customFormat="1" ht="12.5"/>
    <row r="177" s="9" customFormat="1" ht="12.5"/>
    <row r="178" s="9" customFormat="1" ht="12.5"/>
    <row r="179" s="9" customFormat="1" ht="12.5"/>
    <row r="180" s="9" customFormat="1" ht="12.5"/>
    <row r="181" s="9" customFormat="1" ht="12.5"/>
    <row r="182" s="9" customFormat="1" ht="12.5"/>
    <row r="183" s="9" customFormat="1" ht="12.5"/>
    <row r="184" s="9" customFormat="1" ht="12.5"/>
    <row r="185" s="9" customFormat="1" ht="12.5"/>
    <row r="186" s="9" customFormat="1" ht="12.5"/>
    <row r="187" s="9" customFormat="1" ht="12.5"/>
    <row r="188" s="9" customFormat="1" ht="12.5"/>
    <row r="189" s="9" customFormat="1" ht="12.5"/>
    <row r="190" s="9" customFormat="1" ht="12.5"/>
    <row r="191" s="9" customFormat="1" ht="12.5"/>
    <row r="192" s="9" customFormat="1" ht="12.5"/>
    <row r="193" s="9" customFormat="1" ht="12.5"/>
    <row r="194" s="9" customFormat="1" ht="12.5"/>
    <row r="195" s="9" customFormat="1" ht="12.5"/>
    <row r="196" s="9" customFormat="1" ht="12.5"/>
    <row r="197" s="9" customFormat="1" ht="12.5"/>
    <row r="198" s="9" customFormat="1" ht="12.5"/>
    <row r="199" s="9" customFormat="1" ht="12.5"/>
    <row r="200" s="9" customFormat="1" ht="12.5"/>
    <row r="201" s="9" customFormat="1" ht="12.5"/>
    <row r="202" s="9" customFormat="1" ht="12.5"/>
    <row r="203" s="9" customFormat="1" ht="12.5"/>
    <row r="204" s="9" customFormat="1" ht="12.5"/>
    <row r="205" s="9" customFormat="1" ht="12.5"/>
    <row r="206" s="9" customFormat="1" ht="12.5"/>
    <row r="207" s="9" customFormat="1" ht="12.5"/>
    <row r="208" s="9" customFormat="1" ht="12.5"/>
    <row r="209" s="9" customFormat="1" ht="12.5"/>
    <row r="210" s="9" customFormat="1" ht="12.5"/>
    <row r="211" s="9" customFormat="1" ht="12.5"/>
    <row r="212" s="9" customFormat="1" ht="12.5"/>
    <row r="213" s="9" customFormat="1" ht="12.5"/>
    <row r="214" s="9" customFormat="1" ht="12.5"/>
    <row r="215" s="9" customFormat="1" ht="12.5"/>
    <row r="216" s="9" customFormat="1" ht="12.5"/>
    <row r="217" s="9" customFormat="1" ht="12.5"/>
    <row r="218" s="9" customFormat="1" ht="12.5"/>
    <row r="219" s="9" customFormat="1" ht="12.5"/>
    <row r="220" s="9" customFormat="1" ht="12.5"/>
    <row r="221" s="9" customFormat="1" ht="12.5"/>
    <row r="222" s="9" customFormat="1" ht="12.5"/>
    <row r="223" s="9" customFormat="1" ht="12.5"/>
    <row r="224" s="9" customFormat="1" ht="12.5"/>
    <row r="225" s="9" customFormat="1" ht="12.5"/>
    <row r="226" s="9" customFormat="1" ht="12.5"/>
    <row r="227" s="9" customFormat="1" ht="12.5"/>
    <row r="228" s="9" customFormat="1" ht="12.5"/>
    <row r="229" s="9" customFormat="1" ht="12.5"/>
    <row r="230" s="9" customFormat="1" ht="12.5"/>
    <row r="231" s="9" customFormat="1" ht="12.5"/>
    <row r="232" s="9" customFormat="1" ht="12.5"/>
    <row r="233" s="9" customFormat="1" ht="12.5"/>
    <row r="234" s="9" customFormat="1" ht="12.5"/>
    <row r="235" s="9" customFormat="1" ht="12.5"/>
    <row r="236" s="9" customFormat="1" ht="12.5"/>
    <row r="237" s="9" customFormat="1" ht="12.5"/>
    <row r="238" s="9" customFormat="1" ht="12.5"/>
    <row r="239" s="9" customFormat="1" ht="12.5"/>
    <row r="240" s="9" customFormat="1" ht="12.5"/>
    <row r="241" s="9" customFormat="1" ht="12.5"/>
    <row r="242" s="9" customFormat="1" ht="12.5"/>
    <row r="243" s="9" customFormat="1" ht="12.5"/>
    <row r="244" s="9" customFormat="1" ht="12.5"/>
    <row r="245" s="9" customFormat="1" ht="12.5"/>
    <row r="246" s="9" customFormat="1" ht="12.5"/>
    <row r="247" s="9" customFormat="1" ht="12.5"/>
    <row r="248" s="9" customFormat="1" ht="12.5"/>
    <row r="249" s="9" customFormat="1" ht="12.5"/>
    <row r="250" s="9" customFormat="1" ht="12.5"/>
    <row r="251" s="9" customFormat="1" ht="12.5"/>
    <row r="252" s="9" customFormat="1" ht="12.5"/>
    <row r="253" s="9" customFormat="1" ht="12.5"/>
    <row r="254" s="9" customFormat="1" ht="12.5"/>
    <row r="255" s="9" customFormat="1" ht="12.5"/>
    <row r="256" s="9" customFormat="1" ht="12.5"/>
    <row r="257" s="9" customFormat="1" ht="12.5"/>
    <row r="258" s="9" customFormat="1" ht="12.5"/>
    <row r="259" s="9" customFormat="1" ht="12.5"/>
    <row r="260" s="9" customFormat="1" ht="12.5"/>
    <row r="261" s="9" customFormat="1" ht="12.5"/>
    <row r="262" s="9" customFormat="1" ht="12.5"/>
    <row r="263" s="9" customFormat="1" ht="12.5"/>
    <row r="264" s="9" customFormat="1" ht="12.5"/>
    <row r="265" s="9" customFormat="1" ht="12.5"/>
    <row r="266" s="9" customFormat="1" ht="12.5"/>
    <row r="267" s="9" customFormat="1" ht="12.5"/>
    <row r="268" s="9" customFormat="1" ht="12.5"/>
    <row r="269" s="9" customFormat="1" ht="12.5"/>
    <row r="270" s="9" customFormat="1" ht="12.5"/>
    <row r="271" s="9" customFormat="1" ht="12.5"/>
    <row r="272" s="9" customFormat="1" ht="12.5"/>
    <row r="273" s="9" customFormat="1" ht="12.5"/>
    <row r="274" s="9" customFormat="1" ht="12.5"/>
    <row r="275" s="9" customFormat="1" ht="12.5"/>
    <row r="276" s="9" customFormat="1" ht="12.5"/>
    <row r="277" s="9" customFormat="1" ht="12.5"/>
    <row r="278" s="9" customFormat="1" ht="12.5"/>
    <row r="279" s="9" customFormat="1" ht="12.5"/>
    <row r="280" s="9" customFormat="1" ht="12.5"/>
    <row r="281" s="9" customFormat="1" ht="12.5"/>
    <row r="282" s="9" customFormat="1" ht="12.5"/>
    <row r="283" s="9" customFormat="1" ht="12.5"/>
    <row r="284" s="9" customFormat="1" ht="12.5"/>
    <row r="285" s="9" customFormat="1" ht="12.5"/>
    <row r="286" s="9" customFormat="1" ht="12.5"/>
    <row r="287" s="9" customFormat="1" ht="12.5"/>
    <row r="288" s="9" customFormat="1" ht="12.5"/>
    <row r="289" s="9" customFormat="1" ht="12.5"/>
    <row r="290" s="9" customFormat="1" ht="12.5"/>
    <row r="291" s="9" customFormat="1" ht="12.5"/>
    <row r="292" s="9" customFormat="1" ht="12.5"/>
    <row r="293" s="9" customFormat="1" ht="12.5"/>
    <row r="294" s="9" customFormat="1" ht="12.5"/>
    <row r="295" s="9" customFormat="1" ht="12.5"/>
    <row r="296" s="9" customFormat="1" ht="12.5"/>
    <row r="297" s="9" customFormat="1" ht="12.5"/>
    <row r="298" s="9" customFormat="1" ht="12.5"/>
    <row r="299" s="9" customFormat="1" ht="12.5"/>
    <row r="300" s="9" customFormat="1" ht="12.5"/>
    <row r="301" s="9" customFormat="1" ht="12.5"/>
    <row r="302" s="9" customFormat="1" ht="12.5"/>
    <row r="303" s="9" customFormat="1" ht="12.5"/>
    <row r="304" s="9" customFormat="1" ht="12.5"/>
    <row r="305" s="9" customFormat="1" ht="12.5"/>
    <row r="306" s="9" customFormat="1" ht="12.5"/>
    <row r="307" s="9" customFormat="1" ht="12.5"/>
    <row r="308" s="9" customFormat="1" ht="12.5"/>
    <row r="309" s="9" customFormat="1" ht="12.5"/>
    <row r="310" s="9" customFormat="1" ht="12.5"/>
    <row r="311" s="9" customFormat="1" ht="12.5"/>
    <row r="312" s="9" customFormat="1" ht="12.5"/>
    <row r="313" s="9" customFormat="1" ht="12.5"/>
    <row r="314" s="9" customFormat="1" ht="12.5"/>
    <row r="315" s="9" customFormat="1" ht="12.5"/>
    <row r="316" s="9" customFormat="1" ht="12.5"/>
    <row r="317" s="9" customFormat="1" ht="12.5"/>
    <row r="318" s="9" customFormat="1" ht="12.5"/>
    <row r="319" s="9" customFormat="1" ht="12.5"/>
    <row r="320" s="9" customFormat="1" ht="12.5"/>
    <row r="321" s="9" customFormat="1" ht="12.5"/>
    <row r="322" s="9" customFormat="1" ht="12.5"/>
    <row r="323" s="9" customFormat="1" ht="12.5"/>
    <row r="324" s="9" customFormat="1" ht="12.5"/>
    <row r="325" s="9" customFormat="1" ht="12.5"/>
    <row r="326" s="9" customFormat="1" ht="12.5"/>
    <row r="327" s="9" customFormat="1" ht="12.5"/>
    <row r="328" s="9" customFormat="1" ht="12.5"/>
    <row r="329" s="9" customFormat="1" ht="12.5"/>
    <row r="330" s="9" customFormat="1" ht="12.5"/>
    <row r="331" s="9" customFormat="1" ht="12.5"/>
    <row r="332" s="9" customFormat="1" ht="12.5"/>
    <row r="333" s="9" customFormat="1" ht="12.5"/>
    <row r="334" s="9" customFormat="1" ht="12.5"/>
    <row r="335" s="9" customFormat="1" ht="12.5"/>
    <row r="336" s="9" customFormat="1" ht="12.5"/>
    <row r="337" s="9" customFormat="1" ht="12.5"/>
    <row r="338" s="9" customFormat="1" ht="12.5"/>
    <row r="339" s="9" customFormat="1" ht="12.5"/>
    <row r="340" s="9" customFormat="1" ht="12.5"/>
    <row r="341" s="9" customFormat="1" ht="12.5"/>
    <row r="342" s="9" customFormat="1" ht="12.5"/>
    <row r="343" s="9" customFormat="1" ht="12.5"/>
    <row r="344" s="9" customFormat="1" ht="12.5"/>
    <row r="345" s="9" customFormat="1" ht="12.5"/>
    <row r="346" s="9" customFormat="1" ht="12.5"/>
    <row r="347" s="9" customFormat="1" ht="12.5"/>
    <row r="348" s="9" customFormat="1" ht="12.5"/>
    <row r="349" s="9" customFormat="1" ht="12.5"/>
    <row r="350" s="9" customFormat="1" ht="12.5"/>
    <row r="351" s="9" customFormat="1" ht="12.5"/>
    <row r="352" s="9" customFormat="1" ht="12.5"/>
    <row r="353" s="9" customFormat="1" ht="12.5"/>
    <row r="354" s="9" customFormat="1" ht="12.5"/>
    <row r="355" s="9" customFormat="1" ht="12.5"/>
    <row r="356" s="9" customFormat="1" ht="12.5"/>
    <row r="357" s="9" customFormat="1" ht="12.5"/>
    <row r="358" s="9" customFormat="1" ht="12.5"/>
    <row r="359" s="9" customFormat="1" ht="12.5"/>
    <row r="360" s="9" customFormat="1" ht="12.5"/>
    <row r="361" s="9" customFormat="1" ht="12.5"/>
    <row r="362" s="9" customFormat="1" ht="12.5"/>
    <row r="363" s="9" customFormat="1" ht="12.5"/>
    <row r="364" s="9" customFormat="1" ht="12.5"/>
    <row r="365" s="9" customFormat="1" ht="12.5"/>
    <row r="366" s="9" customFormat="1" ht="12.5"/>
    <row r="367" s="9" customFormat="1" ht="12.5"/>
    <row r="368" s="9" customFormat="1" ht="12.5"/>
    <row r="369" s="9" customFormat="1" ht="12.5"/>
    <row r="370" s="9" customFormat="1" ht="12.5"/>
    <row r="371" s="9" customFormat="1" ht="12.5"/>
    <row r="372" s="9" customFormat="1" ht="12.5"/>
    <row r="373" s="9" customFormat="1" ht="12.5"/>
    <row r="374" s="9" customFormat="1" ht="12.5"/>
    <row r="375" s="9" customFormat="1" ht="12.5"/>
    <row r="376" s="9" customFormat="1" ht="12.5"/>
    <row r="377" s="9" customFormat="1" ht="12.5"/>
    <row r="378" s="9" customFormat="1" ht="12.5"/>
    <row r="379" s="9" customFormat="1" ht="12.5"/>
    <row r="380" s="9" customFormat="1" ht="12.5"/>
    <row r="381" s="9" customFormat="1" ht="12.5"/>
    <row r="382" s="9" customFormat="1" ht="12.5"/>
    <row r="383" s="9" customFormat="1" ht="12.5"/>
    <row r="384" s="9" customFormat="1" ht="12.5"/>
    <row r="385" s="9" customFormat="1" ht="12.5"/>
    <row r="386" s="9" customFormat="1" ht="12.5"/>
    <row r="387" s="9" customFormat="1" ht="12.5"/>
    <row r="388" s="9" customFormat="1" ht="12.5"/>
    <row r="389" s="9" customFormat="1" ht="12.5"/>
    <row r="390" s="9" customFormat="1" ht="12.5"/>
    <row r="391" s="9" customFormat="1" ht="12.5"/>
    <row r="392" s="9" customFormat="1" ht="12.5"/>
    <row r="393" s="9" customFormat="1" ht="12.5"/>
    <row r="394" s="9" customFormat="1" ht="12.5"/>
    <row r="395" s="9" customFormat="1" ht="12.5"/>
    <row r="396" s="9" customFormat="1" ht="12.5"/>
    <row r="397" s="9" customFormat="1" ht="12.5"/>
    <row r="398" s="9" customFormat="1" ht="12.5"/>
    <row r="399" s="9" customFormat="1" ht="12.5"/>
    <row r="400" s="9" customFormat="1" ht="12.5"/>
    <row r="401" s="9" customFormat="1" ht="12.5"/>
    <row r="402" s="9" customFormat="1" ht="12.5"/>
    <row r="403" s="9" customFormat="1" ht="12.5"/>
    <row r="404" s="9" customFormat="1" ht="12.5"/>
    <row r="405" s="9" customFormat="1" ht="12.5"/>
    <row r="406" s="9" customFormat="1" ht="12.5"/>
    <row r="407" s="9" customFormat="1" ht="12.5"/>
    <row r="408" s="9" customFormat="1" ht="12.5"/>
    <row r="409" s="9" customFormat="1" ht="12.5"/>
    <row r="410" s="9" customFormat="1" ht="12.5"/>
    <row r="411" s="9" customFormat="1" ht="12.5"/>
    <row r="412" s="9" customFormat="1" ht="12.5"/>
    <row r="413" s="9" customFormat="1" ht="12.5"/>
    <row r="414" s="9" customFormat="1" ht="12.5"/>
    <row r="415" s="9" customFormat="1" ht="12.5"/>
    <row r="416" s="9" customFormat="1" ht="12.5"/>
    <row r="417" s="9" customFormat="1" ht="12.5"/>
    <row r="418" s="9" customFormat="1" ht="12.5"/>
    <row r="419" s="9" customFormat="1" ht="12.5"/>
    <row r="420" s="9" customFormat="1" ht="12.5"/>
    <row r="421" s="9" customFormat="1" ht="12.5"/>
    <row r="422" s="9" customFormat="1" ht="12.5"/>
    <row r="423" s="9" customFormat="1" ht="12.5"/>
    <row r="424" s="9" customFormat="1" ht="12.5"/>
    <row r="425" s="9" customFormat="1" ht="12.5"/>
    <row r="426" s="9" customFormat="1" ht="12.5"/>
    <row r="427" s="9" customFormat="1" ht="12.5"/>
    <row r="428" s="9" customFormat="1" ht="12.5"/>
    <row r="429" s="9" customFormat="1" ht="12.5"/>
    <row r="430" s="9" customFormat="1" ht="12.5"/>
    <row r="431" s="9" customFormat="1" ht="12.5"/>
    <row r="432" s="9" customFormat="1" ht="12.5"/>
    <row r="433" s="9" customFormat="1" ht="12.5"/>
    <row r="434" s="9" customFormat="1" ht="12.5"/>
    <row r="435" s="9" customFormat="1" ht="12.5"/>
    <row r="436" s="9" customFormat="1" ht="12.5"/>
    <row r="437" s="9" customFormat="1" ht="12.5"/>
    <row r="438" s="9" customFormat="1" ht="12.5"/>
    <row r="439" s="9" customFormat="1" ht="12.5"/>
    <row r="440" s="9" customFormat="1" ht="12.5"/>
    <row r="441" s="9" customFormat="1" ht="12.5"/>
    <row r="442" s="9" customFormat="1" ht="12.5"/>
    <row r="443" s="9" customFormat="1" ht="12.5"/>
    <row r="444" s="9" customFormat="1" ht="12.5"/>
    <row r="445" s="9" customFormat="1" ht="12.5"/>
    <row r="446" s="9" customFormat="1" ht="12.5"/>
    <row r="447" s="9" customFormat="1" ht="12.5"/>
    <row r="448" s="9" customFormat="1" ht="12.5"/>
    <row r="449" s="9" customFormat="1" ht="12.5"/>
    <row r="450" s="9" customFormat="1" ht="12.5"/>
    <row r="451" s="9" customFormat="1" ht="12.5"/>
    <row r="452" s="9" customFormat="1" ht="12.5"/>
    <row r="453" s="9" customFormat="1" ht="12.5"/>
    <row r="454" s="9" customFormat="1" ht="12.5"/>
    <row r="455" s="9" customFormat="1" ht="12.5"/>
    <row r="456" s="9" customFormat="1" ht="12.5"/>
    <row r="457" s="9" customFormat="1" ht="12.5"/>
    <row r="458" s="9" customFormat="1" ht="12.5"/>
    <row r="459" s="9" customFormat="1" ht="12.5"/>
    <row r="460" s="9" customFormat="1" ht="12.5"/>
    <row r="461" s="9" customFormat="1" ht="12.5"/>
    <row r="462" s="9" customFormat="1" ht="12.5"/>
    <row r="463" s="9" customFormat="1" ht="12.5"/>
    <row r="464" s="9" customFormat="1" ht="12.5"/>
    <row r="465" s="9" customFormat="1" ht="12.5"/>
    <row r="466" s="9" customFormat="1" ht="12.5"/>
    <row r="467" s="9" customFormat="1" ht="12.5"/>
    <row r="468" s="9" customFormat="1" ht="12.5"/>
    <row r="469" s="9" customFormat="1" ht="12.5"/>
    <row r="470" s="9" customFormat="1" ht="12.5"/>
    <row r="471" s="9" customFormat="1" ht="12.5"/>
    <row r="472" s="9" customFormat="1" ht="12.5"/>
    <row r="473" s="9" customFormat="1" ht="12.5"/>
    <row r="474" s="9" customFormat="1" ht="12.5"/>
    <row r="475" s="9" customFormat="1" ht="12.5"/>
    <row r="476" s="9" customFormat="1" ht="12.5"/>
    <row r="477" s="9" customFormat="1" ht="12.5"/>
    <row r="478" s="9" customFormat="1" ht="12.5"/>
    <row r="479" s="9" customFormat="1" ht="12.5"/>
    <row r="480" s="9" customFormat="1" ht="12.5"/>
    <row r="481" s="9" customFormat="1" ht="12.5"/>
    <row r="482" s="9" customFormat="1" ht="12.5"/>
    <row r="483" s="9" customFormat="1" ht="12.5"/>
    <row r="484" s="9" customFormat="1" ht="12.5"/>
    <row r="485" s="9" customFormat="1" ht="12.5"/>
    <row r="486" s="9" customFormat="1" ht="12.5"/>
    <row r="487" s="9" customFormat="1" ht="12.5"/>
    <row r="488" s="9" customFormat="1" ht="12.5"/>
    <row r="489" s="9" customFormat="1" ht="12.5"/>
    <row r="490" s="9" customFormat="1" ht="12.5"/>
    <row r="491" s="9" customFormat="1" ht="12.5"/>
    <row r="492" s="9" customFormat="1" ht="12.5"/>
    <row r="493" s="9" customFormat="1" ht="12.5"/>
    <row r="494" s="9" customFormat="1" ht="12.5"/>
    <row r="495" s="9" customFormat="1" ht="12.5"/>
    <row r="496" s="9" customFormat="1" ht="12.5"/>
    <row r="497" s="9" customFormat="1" ht="12.5"/>
    <row r="498" s="9" customFormat="1" ht="12.5"/>
    <row r="499" s="9" customFormat="1" ht="12.5"/>
    <row r="500" s="9" customFormat="1" ht="12.5"/>
    <row r="501" s="9" customFormat="1" ht="12.5"/>
    <row r="502" s="9" customFormat="1" ht="12.5"/>
    <row r="503" s="9" customFormat="1" ht="12.5"/>
    <row r="504" s="9" customFormat="1" ht="12.5"/>
    <row r="505" s="9" customFormat="1" ht="12.5"/>
    <row r="506" s="9" customFormat="1" ht="12.5"/>
    <row r="507" s="9" customFormat="1" ht="12.5"/>
    <row r="508" s="9" customFormat="1" ht="12.5"/>
    <row r="509" s="9" customFormat="1" ht="12.5"/>
    <row r="510" s="9" customFormat="1" ht="12.5"/>
    <row r="511" s="9" customFormat="1" ht="12.5"/>
    <row r="512" s="9" customFormat="1" ht="12.5"/>
    <row r="513" s="9" customFormat="1" ht="12.5"/>
    <row r="514" s="9" customFormat="1" ht="12.5"/>
    <row r="515" s="9" customFormat="1" ht="12.5"/>
    <row r="516" s="9" customFormat="1" ht="12.5"/>
    <row r="517" s="9" customFormat="1" ht="12.5"/>
    <row r="518" s="9" customFormat="1" ht="12.5"/>
    <row r="519" s="9" customFormat="1" ht="12.5"/>
    <row r="520" s="9" customFormat="1" ht="12.5"/>
    <row r="521" s="9" customFormat="1" ht="12.5"/>
    <row r="522" s="9" customFormat="1" ht="12.5"/>
    <row r="523" s="9" customFormat="1" ht="12.5"/>
    <row r="524" s="9" customFormat="1" ht="12.5"/>
    <row r="525" s="9" customFormat="1" ht="12.5"/>
    <row r="526" s="9" customFormat="1" ht="12.5"/>
    <row r="527" s="9" customFormat="1" ht="12.5"/>
    <row r="528" s="9" customFormat="1" ht="12.5"/>
    <row r="529" s="9" customFormat="1" ht="12.5"/>
    <row r="530" s="9" customFormat="1" ht="12.5"/>
    <row r="531" s="9" customFormat="1" ht="12.5"/>
    <row r="532" s="9" customFormat="1" ht="12.5"/>
    <row r="533" s="9" customFormat="1" ht="12.5"/>
    <row r="534" s="9" customFormat="1" ht="12.5"/>
    <row r="535" s="9" customFormat="1" ht="12.5"/>
    <row r="536" s="9" customFormat="1" ht="12.5"/>
    <row r="537" s="9" customFormat="1" ht="12.5"/>
    <row r="538" s="9" customFormat="1" ht="12.5"/>
    <row r="539" s="9" customFormat="1" ht="12.5"/>
    <row r="540" s="9" customFormat="1" ht="12.5"/>
    <row r="541" s="9" customFormat="1" ht="12.5"/>
    <row r="542" s="9" customFormat="1" ht="12.5"/>
    <row r="543" s="9" customFormat="1" ht="12.5"/>
    <row r="544" s="9" customFormat="1" ht="12.5"/>
    <row r="545" s="9" customFormat="1" ht="12.5"/>
    <row r="546" s="9" customFormat="1" ht="12.5"/>
    <row r="547" s="9" customFormat="1" ht="12.5"/>
    <row r="548" s="9" customFormat="1" ht="12.5"/>
    <row r="549" s="9" customFormat="1" ht="12.5"/>
    <row r="550" s="9" customFormat="1" ht="12.5"/>
    <row r="551" s="9" customFormat="1" ht="12.5"/>
    <row r="552" s="9" customFormat="1" ht="12.5"/>
    <row r="553" s="9" customFormat="1" ht="12.5"/>
    <row r="554" s="9" customFormat="1" ht="12.5"/>
    <row r="555" s="9" customFormat="1" ht="12.5"/>
    <row r="556" s="9" customFormat="1" ht="12.5"/>
    <row r="557" s="9" customFormat="1" ht="12.5"/>
    <row r="558" s="9" customFormat="1" ht="12.5"/>
    <row r="559" s="9" customFormat="1" ht="12.5"/>
    <row r="560" s="9" customFormat="1" ht="12.5"/>
    <row r="561" s="9" customFormat="1" ht="12.5"/>
    <row r="562" s="9" customFormat="1" ht="12.5"/>
    <row r="563" s="9" customFormat="1" ht="12.5"/>
    <row r="564" s="9" customFormat="1" ht="12.5"/>
    <row r="565" s="9" customFormat="1" ht="12.5"/>
    <row r="566" s="9" customFormat="1" ht="12.5"/>
    <row r="567" s="9" customFormat="1" ht="12.5"/>
    <row r="568" s="9" customFormat="1" ht="12.5"/>
    <row r="569" s="9" customFormat="1" ht="12.5"/>
    <row r="570" s="9" customFormat="1" ht="12.5"/>
    <row r="571" s="9" customFormat="1" ht="12.5"/>
    <row r="572" s="9" customFormat="1" ht="12.5"/>
    <row r="573" s="9" customFormat="1" ht="12.5"/>
    <row r="574" s="9" customFormat="1" ht="12.5"/>
    <row r="575" s="9" customFormat="1" ht="12.5"/>
    <row r="576" s="9" customFormat="1" ht="12.5"/>
    <row r="577" s="9" customFormat="1" ht="12.5"/>
    <row r="578" s="9" customFormat="1" ht="12.5"/>
    <row r="579" s="9" customFormat="1" ht="12.5"/>
    <row r="580" s="9" customFormat="1" ht="12.5"/>
    <row r="581" s="9" customFormat="1" ht="12.5"/>
    <row r="582" s="9" customFormat="1" ht="12.5"/>
    <row r="583" s="9" customFormat="1" ht="12.5"/>
    <row r="584" s="9" customFormat="1" ht="12.5"/>
    <row r="585" s="9" customFormat="1" ht="12.5"/>
    <row r="586" s="9" customFormat="1" ht="12.5"/>
    <row r="587" s="9" customFormat="1" ht="12.5"/>
    <row r="588" s="9" customFormat="1" ht="12.5"/>
    <row r="589" s="9" customFormat="1" ht="12.5"/>
    <row r="590" s="9" customFormat="1" ht="12.5"/>
    <row r="591" s="9" customFormat="1" ht="12.5"/>
    <row r="592" s="9" customFormat="1" ht="12.5"/>
    <row r="593" s="9" customFormat="1" ht="12.5"/>
    <row r="594" s="9" customFormat="1" ht="12.5"/>
    <row r="595" s="9" customFormat="1" ht="12.5"/>
    <row r="596" s="9" customFormat="1" ht="12.5"/>
    <row r="597" s="9" customFormat="1" ht="12.5"/>
    <row r="598" s="9" customFormat="1" ht="12.5"/>
    <row r="599" s="9" customFormat="1" ht="12.5"/>
    <row r="600" s="9" customFormat="1" ht="12.5"/>
    <row r="601" s="9" customFormat="1" ht="12.5"/>
    <row r="602" s="9" customFormat="1" ht="12.5"/>
    <row r="603" s="9" customFormat="1" ht="12.5"/>
    <row r="604" s="9" customFormat="1" ht="12.5"/>
    <row r="605" s="9" customFormat="1" ht="12.5"/>
    <row r="606" s="9" customFormat="1" ht="12.5"/>
    <row r="607" s="9" customFormat="1" ht="12.5"/>
    <row r="608" s="9" customFormat="1" ht="12.5"/>
    <row r="609" s="9" customFormat="1" ht="12.5"/>
    <row r="610" s="9" customFormat="1" ht="12.5"/>
    <row r="611" s="9" customFormat="1" ht="12.5"/>
    <row r="612" s="9" customFormat="1" ht="12.5"/>
    <row r="613" s="9" customFormat="1" ht="12.5"/>
    <row r="614" s="9" customFormat="1" ht="12.5"/>
    <row r="615" s="9" customFormat="1" ht="12.5"/>
    <row r="616" s="9" customFormat="1" ht="12.5"/>
    <row r="617" s="9" customFormat="1" ht="12.5"/>
    <row r="618" s="9" customFormat="1" ht="12.5"/>
    <row r="619" s="9" customFormat="1" ht="12.5"/>
    <row r="620" s="9" customFormat="1" ht="12.5"/>
    <row r="621" s="9" customFormat="1" ht="12.5"/>
    <row r="622" s="9" customFormat="1" ht="12.5"/>
    <row r="623" s="9" customFormat="1" ht="12.5"/>
    <row r="624" s="9" customFormat="1" ht="12.5"/>
    <row r="625" s="9" customFormat="1" ht="12.5"/>
    <row r="626" s="9" customFormat="1" ht="12.5"/>
    <row r="627" s="9" customFormat="1" ht="12.5"/>
    <row r="628" s="9" customFormat="1" ht="12.5"/>
    <row r="629" s="9" customFormat="1" ht="12.5"/>
    <row r="630" s="9" customFormat="1" ht="12.5"/>
    <row r="631" s="9" customFormat="1" ht="12.5"/>
    <row r="632" s="9" customFormat="1" ht="12.5"/>
    <row r="633" s="9" customFormat="1" ht="12.5"/>
    <row r="634" s="9" customFormat="1" ht="12.5"/>
    <row r="635" s="9" customFormat="1" ht="12.5"/>
    <row r="636" s="9" customFormat="1" ht="12.5"/>
    <row r="637" s="9" customFormat="1" ht="12.5"/>
    <row r="638" s="9" customFormat="1" ht="12.5"/>
    <row r="639" s="9" customFormat="1" ht="12.5"/>
    <row r="640" s="9" customFormat="1" ht="12.5"/>
    <row r="641" s="9" customFormat="1" ht="12.5"/>
    <row r="642" s="9" customFormat="1" ht="12.5"/>
    <row r="643" s="9" customFormat="1" ht="12.5"/>
    <row r="644" s="9" customFormat="1" ht="12.5"/>
    <row r="645" s="9" customFormat="1" ht="12.5"/>
    <row r="646" s="9" customFormat="1" ht="12.5"/>
    <row r="647" s="9" customFormat="1" ht="12.5"/>
    <row r="648" s="9" customFormat="1" ht="12.5"/>
    <row r="649" s="9" customFormat="1" ht="12.5"/>
    <row r="650" s="9" customFormat="1" ht="12.5"/>
    <row r="651" s="9" customFormat="1" ht="12.5"/>
    <row r="652" s="9" customFormat="1" ht="12.5"/>
    <row r="653" s="9" customFormat="1" ht="12.5"/>
    <row r="654" s="9" customFormat="1" ht="12.5"/>
    <row r="655" s="9" customFormat="1" ht="12.5"/>
    <row r="656" s="9" customFormat="1" ht="12.5"/>
    <row r="657" s="9" customFormat="1" ht="12.5"/>
    <row r="658" s="9" customFormat="1" ht="12.5"/>
    <row r="659" s="9" customFormat="1" ht="12.5"/>
    <row r="660" s="9" customFormat="1" ht="12.5"/>
    <row r="661" s="9" customFormat="1" ht="12.5"/>
    <row r="662" s="9" customFormat="1" ht="12.5"/>
    <row r="663" s="9" customFormat="1" ht="12.5"/>
    <row r="664" s="9" customFormat="1" ht="12.5"/>
    <row r="665" s="9" customFormat="1" ht="12.5"/>
    <row r="666" s="9" customFormat="1" ht="12.5"/>
    <row r="667" s="9" customFormat="1" ht="12.5"/>
    <row r="668" s="9" customFormat="1" ht="12.5"/>
    <row r="669" s="9" customFormat="1" ht="12.5"/>
    <row r="670" s="9" customFormat="1" ht="12.5"/>
    <row r="671" s="9" customFormat="1" ht="12.5"/>
    <row r="672" s="9" customFormat="1" ht="12.5"/>
    <row r="673" s="9" customFormat="1" ht="12.5"/>
    <row r="674" s="9" customFormat="1" ht="12.5"/>
    <row r="675" s="9" customFormat="1" ht="12.5"/>
    <row r="676" s="9" customFormat="1" ht="12.5"/>
    <row r="677" s="9" customFormat="1" ht="12.5"/>
    <row r="678" s="9" customFormat="1" ht="12.5"/>
    <row r="679" s="9" customFormat="1" ht="12.5"/>
    <row r="680" s="9" customFormat="1" ht="12.5"/>
    <row r="681" s="9" customFormat="1" ht="12.5"/>
    <row r="682" s="9" customFormat="1" ht="12.5"/>
    <row r="683" s="9" customFormat="1" ht="12.5"/>
    <row r="684" s="9" customFormat="1" ht="12.5"/>
    <row r="685" s="9" customFormat="1" ht="12.5"/>
    <row r="686" s="9" customFormat="1" ht="12.5"/>
    <row r="687" s="9" customFormat="1" ht="12.5"/>
    <row r="688" s="9" customFormat="1" ht="12.5"/>
    <row r="689" s="9" customFormat="1" ht="12.5"/>
    <row r="690" s="9" customFormat="1" ht="12.5"/>
    <row r="691" s="9" customFormat="1" ht="12.5"/>
    <row r="692" s="9" customFormat="1" ht="12.5"/>
    <row r="693" s="9" customFormat="1" ht="12.5"/>
    <row r="694" s="9" customFormat="1" ht="12.5"/>
    <row r="695" s="9" customFormat="1" ht="12.5"/>
    <row r="696" s="9" customFormat="1" ht="12.5"/>
    <row r="697" s="9" customFormat="1" ht="12.5"/>
    <row r="698" s="9" customFormat="1" ht="12.5"/>
    <row r="699" s="9" customFormat="1" ht="12.5"/>
    <row r="700" s="9" customFormat="1" ht="12.5"/>
    <row r="701" s="9" customFormat="1" ht="12.5"/>
    <row r="702" s="9" customFormat="1" ht="12.5"/>
    <row r="703" s="9" customFormat="1" ht="12.5"/>
    <row r="704" s="9" customFormat="1" ht="12.5"/>
    <row r="705" s="9" customFormat="1" ht="12.5"/>
    <row r="706" s="9" customFormat="1" ht="12.5"/>
    <row r="707" s="9" customFormat="1" ht="12.5"/>
    <row r="708" s="9" customFormat="1" ht="12.5"/>
    <row r="709" s="9" customFormat="1" ht="12.5"/>
    <row r="710" s="9" customFormat="1" ht="12.5"/>
    <row r="711" s="9" customFormat="1" ht="12.5"/>
    <row r="712" s="9" customFormat="1" ht="12.5"/>
    <row r="713" s="9" customFormat="1" ht="12.5"/>
    <row r="714" s="9" customFormat="1" ht="12.5"/>
    <row r="715" s="9" customFormat="1" ht="12.5"/>
    <row r="716" s="9" customFormat="1" ht="12.5"/>
    <row r="717" s="9" customFormat="1" ht="12.5"/>
    <row r="718" s="9" customFormat="1" ht="12.5"/>
    <row r="719" s="9" customFormat="1" ht="12.5"/>
    <row r="720" s="9" customFormat="1" ht="12.5"/>
    <row r="721" s="9" customFormat="1" ht="12.5"/>
    <row r="722" s="9" customFormat="1" ht="12.5"/>
    <row r="723" s="9" customFormat="1" ht="12.5"/>
    <row r="724" s="9" customFormat="1" ht="12.5"/>
    <row r="725" s="9" customFormat="1" ht="12.5"/>
    <row r="726" s="9" customFormat="1" ht="12.5"/>
    <row r="727" s="9" customFormat="1" ht="12.5"/>
    <row r="728" s="9" customFormat="1" ht="12.5"/>
    <row r="729" s="9" customFormat="1" ht="12.5"/>
    <row r="730" s="9" customFormat="1" ht="12.5"/>
    <row r="731" s="9" customFormat="1" ht="12.5"/>
    <row r="732" s="9" customFormat="1" ht="12.5"/>
    <row r="733" s="9" customFormat="1" ht="12.5"/>
    <row r="734" s="9" customFormat="1" ht="12.5"/>
    <row r="735" s="9" customFormat="1" ht="12.5"/>
    <row r="736" s="9" customFormat="1" ht="12.5"/>
    <row r="737" s="9" customFormat="1" ht="12.5"/>
    <row r="738" s="9" customFormat="1" ht="12.5"/>
    <row r="739" s="9" customFormat="1" ht="12.5"/>
    <row r="740" s="9" customFormat="1" ht="12.5"/>
    <row r="741" s="9" customFormat="1" ht="12.5"/>
    <row r="742" s="9" customFormat="1" ht="12.5"/>
    <row r="743" s="9" customFormat="1" ht="12.5"/>
    <row r="744" s="9" customFormat="1" ht="12.5"/>
    <row r="745" s="9" customFormat="1" ht="12.5"/>
    <row r="746" s="9" customFormat="1" ht="12.5"/>
    <row r="747" s="9" customFormat="1" ht="12.5"/>
    <row r="748" s="9" customFormat="1" ht="12.5"/>
    <row r="749" s="9" customFormat="1" ht="12.5"/>
    <row r="750" s="9" customFormat="1" ht="12.5"/>
    <row r="751" s="9" customFormat="1" ht="12.5"/>
    <row r="752" s="9" customFormat="1" ht="12.5"/>
    <row r="753" s="9" customFormat="1" ht="12.5"/>
    <row r="754" s="9" customFormat="1" ht="12.5"/>
    <row r="755" s="9" customFormat="1" ht="12.5"/>
    <row r="756" s="9" customFormat="1" ht="12.5"/>
    <row r="757" s="9" customFormat="1" ht="12.5"/>
    <row r="758" s="9" customFormat="1" ht="12.5"/>
    <row r="759" s="9" customFormat="1" ht="12.5"/>
    <row r="760" s="9" customFormat="1" ht="12.5"/>
    <row r="761" s="9" customFormat="1" ht="12.5"/>
    <row r="762" s="9" customFormat="1" ht="12.5"/>
    <row r="763" s="9" customFormat="1" ht="12.5"/>
    <row r="764" s="9" customFormat="1" ht="12.5"/>
    <row r="765" s="9" customFormat="1" ht="12.5"/>
    <row r="766" s="9" customFormat="1" ht="12.5"/>
    <row r="767" s="9" customFormat="1" ht="12.5"/>
    <row r="768" s="9" customFormat="1" ht="12.5"/>
    <row r="769" s="9" customFormat="1" ht="12.5"/>
    <row r="770" s="9" customFormat="1" ht="12.5"/>
    <row r="771" s="9" customFormat="1" ht="12.5"/>
    <row r="772" s="9" customFormat="1" ht="12.5"/>
    <row r="773" s="9" customFormat="1" ht="12.5"/>
    <row r="774" s="9" customFormat="1" ht="12.5"/>
    <row r="775" s="9" customFormat="1" ht="12.5"/>
    <row r="776" s="9" customFormat="1" ht="12.5"/>
    <row r="777" s="9" customFormat="1" ht="12.5"/>
    <row r="778" s="9" customFormat="1" ht="12.5"/>
    <row r="779" s="9" customFormat="1" ht="12.5"/>
    <row r="780" s="9" customFormat="1" ht="12.5"/>
    <row r="781" s="9" customFormat="1" ht="12.5"/>
    <row r="782" s="9" customFormat="1" ht="12.5"/>
    <row r="783" s="9" customFormat="1" ht="12.5"/>
    <row r="784" s="9" customFormat="1" ht="12.5"/>
    <row r="785" s="9" customFormat="1" ht="12.5"/>
    <row r="786" s="9" customFormat="1" ht="12.5"/>
    <row r="787" s="9" customFormat="1" ht="12.5"/>
    <row r="788" s="9" customFormat="1" ht="12.5"/>
    <row r="789" s="9" customFormat="1" ht="12.5"/>
    <row r="790" s="9" customFormat="1" ht="12.5"/>
    <row r="791" s="9" customFormat="1" ht="12.5"/>
    <row r="792" s="9" customFormat="1" ht="12.5"/>
    <row r="793" s="9" customFormat="1" ht="12.5"/>
    <row r="794" s="9" customFormat="1" ht="12.5"/>
    <row r="795" s="9" customFormat="1" ht="12.5"/>
    <row r="796" s="9" customFormat="1" ht="12.5"/>
    <row r="797" s="9" customFormat="1" ht="12.5"/>
    <row r="798" s="9" customFormat="1" ht="12.5"/>
    <row r="799" s="9" customFormat="1" ht="12.5"/>
    <row r="800" s="9" customFormat="1" ht="12.5"/>
    <row r="801" s="9" customFormat="1" ht="12.5"/>
    <row r="802" s="9" customFormat="1" ht="12.5"/>
    <row r="803" s="9" customFormat="1" ht="12.5"/>
    <row r="804" s="9" customFormat="1" ht="12.5"/>
    <row r="805" s="9" customFormat="1" ht="12.5"/>
    <row r="806" s="9" customFormat="1" ht="12.5"/>
    <row r="807" s="9" customFormat="1" ht="12.5"/>
    <row r="808" s="9" customFormat="1" ht="12.5"/>
    <row r="809" s="9" customFormat="1" ht="12.5"/>
    <row r="810" s="9" customFormat="1" ht="12.5"/>
    <row r="811" s="9" customFormat="1" ht="12.5"/>
    <row r="812" s="9" customFormat="1" ht="12.5"/>
    <row r="813" s="9" customFormat="1" ht="12.5"/>
    <row r="814" s="9" customFormat="1" ht="12.5"/>
    <row r="815" s="9" customFormat="1" ht="12.5"/>
    <row r="816" s="9" customFormat="1" ht="12.5"/>
    <row r="817" s="9" customFormat="1" ht="12.5"/>
    <row r="818" s="9" customFormat="1" ht="12.5"/>
    <row r="819" s="9" customFormat="1" ht="12.5"/>
    <row r="820" s="9" customFormat="1" ht="12.5"/>
    <row r="821" s="9" customFormat="1" ht="12.5"/>
    <row r="822" s="9" customFormat="1" ht="12.5"/>
    <row r="823" s="9" customFormat="1" ht="12.5"/>
    <row r="824" s="9" customFormat="1" ht="12.5"/>
    <row r="825" s="9" customFormat="1" ht="12.5"/>
    <row r="826" s="9" customFormat="1" ht="12.5"/>
    <row r="827" s="9" customFormat="1" ht="12.5"/>
    <row r="828" s="9" customFormat="1" ht="12.5"/>
    <row r="829" s="9" customFormat="1" ht="12.5"/>
    <row r="830" s="9" customFormat="1" ht="12.5"/>
    <row r="831" s="9" customFormat="1" ht="12.5"/>
    <row r="832" s="9" customFormat="1" ht="12.5"/>
    <row r="833" s="9" customFormat="1" ht="12.5"/>
    <row r="834" s="9" customFormat="1" ht="12.5"/>
    <row r="835" s="9" customFormat="1" ht="12.5"/>
    <row r="836" s="9" customFormat="1" ht="12.5"/>
    <row r="837" s="9" customFormat="1" ht="12.5"/>
    <row r="838" s="9" customFormat="1" ht="12.5"/>
    <row r="839" s="9" customFormat="1" ht="12.5"/>
    <row r="840" s="9" customFormat="1" ht="12.5"/>
    <row r="841" s="9" customFormat="1" ht="12.5"/>
    <row r="842" s="9" customFormat="1" ht="12.5"/>
    <row r="843" s="9" customFormat="1" ht="12.5"/>
    <row r="844" s="9" customFormat="1" ht="12.5"/>
    <row r="845" s="9" customFormat="1" ht="12.5"/>
    <row r="846" s="9" customFormat="1" ht="12.5"/>
    <row r="847" s="9" customFormat="1" ht="12.5"/>
    <row r="848" s="9" customFormat="1" ht="12.5"/>
    <row r="849" s="9" customFormat="1" ht="12.5"/>
    <row r="850" s="9" customFormat="1" ht="12.5"/>
    <row r="851" s="9" customFormat="1" ht="12.5"/>
    <row r="852" s="9" customFormat="1" ht="12.5"/>
    <row r="853" s="9" customFormat="1" ht="12.5"/>
    <row r="854" s="9" customFormat="1" ht="12.5"/>
    <row r="855" s="9" customFormat="1" ht="12.5"/>
    <row r="856" s="9" customFormat="1" ht="12.5"/>
    <row r="857" s="9" customFormat="1" ht="12.5"/>
    <row r="858" s="9" customFormat="1" ht="12.5"/>
    <row r="859" s="9" customFormat="1" ht="12.5"/>
    <row r="860" s="9" customFormat="1" ht="12.5"/>
    <row r="861" s="9" customFormat="1" ht="12.5"/>
    <row r="862" s="9" customFormat="1" ht="12.5"/>
    <row r="863" s="9" customFormat="1" ht="12.5"/>
    <row r="864" s="9" customFormat="1" ht="12.5"/>
    <row r="865" s="9" customFormat="1" ht="12.5"/>
    <row r="866" s="9" customFormat="1" ht="12.5"/>
    <row r="867" s="9" customFormat="1" ht="12.5"/>
    <row r="868" s="9" customFormat="1" ht="12.5"/>
    <row r="869" s="9" customFormat="1" ht="12.5"/>
    <row r="870" s="9" customFormat="1" ht="12.5"/>
    <row r="871" s="9" customFormat="1" ht="12.5"/>
    <row r="872" s="9" customFormat="1" ht="12.5"/>
    <row r="873" s="9" customFormat="1" ht="12.5"/>
    <row r="874" s="9" customFormat="1" ht="12.5"/>
    <row r="875" s="9" customFormat="1" ht="12.5"/>
    <row r="876" s="9" customFormat="1" ht="12.5"/>
    <row r="877" s="9" customFormat="1" ht="12.5"/>
    <row r="878" s="9" customFormat="1" ht="12.5"/>
    <row r="879" s="9" customFormat="1" ht="12.5"/>
    <row r="880" s="9" customFormat="1" ht="12.5"/>
    <row r="881" s="9" customFormat="1" ht="12.5"/>
    <row r="882" s="9" customFormat="1" ht="12.5"/>
    <row r="883" s="9" customFormat="1" ht="12.5"/>
    <row r="884" s="9" customFormat="1" ht="12.5"/>
    <row r="885" s="9" customFormat="1" ht="12.5"/>
    <row r="886" s="9" customFormat="1" ht="12.5"/>
    <row r="887" s="9" customFormat="1" ht="12.5"/>
    <row r="888" s="9" customFormat="1" ht="12.5"/>
    <row r="889" s="9" customFormat="1" ht="12.5"/>
    <row r="890" s="9" customFormat="1" ht="12.5"/>
    <row r="891" s="9" customFormat="1" ht="12.5"/>
    <row r="892" s="9" customFormat="1" ht="12.5"/>
    <row r="893" s="9" customFormat="1" ht="12.5"/>
    <row r="894" s="9" customFormat="1" ht="12.5"/>
    <row r="895" s="9" customFormat="1" ht="12.5"/>
    <row r="896" s="9" customFormat="1" ht="12.5"/>
    <row r="897" s="9" customFormat="1" ht="12.5"/>
    <row r="898" s="9" customFormat="1" ht="12.5"/>
    <row r="899" s="9" customFormat="1" ht="12.5"/>
    <row r="900" s="9" customFormat="1" ht="12.5"/>
    <row r="901" s="9" customFormat="1" ht="12.5"/>
    <row r="902" s="9" customFormat="1" ht="12.5"/>
    <row r="903" s="9" customFormat="1" ht="12.5"/>
    <row r="904" s="9" customFormat="1" ht="12.5"/>
    <row r="905" s="9" customFormat="1" ht="12.5"/>
    <row r="906" s="9" customFormat="1" ht="12.5"/>
    <row r="907" s="9" customFormat="1" ht="12.5"/>
    <row r="908" s="9" customFormat="1" ht="12.5"/>
    <row r="909" s="9" customFormat="1" ht="12.5"/>
    <row r="910" s="9" customFormat="1" ht="12.5"/>
    <row r="911" s="9" customFormat="1" ht="12.5"/>
    <row r="912" s="9" customFormat="1" ht="12.5"/>
    <row r="913" s="9" customFormat="1" ht="12.5"/>
    <row r="914" s="9" customFormat="1" ht="12.5"/>
    <row r="915" s="9" customFormat="1" ht="12.5"/>
    <row r="916" s="9" customFormat="1" ht="12.5"/>
    <row r="917" s="9" customFormat="1" ht="12.5"/>
    <row r="918" s="9" customFormat="1" ht="12.5"/>
    <row r="919" s="9" customFormat="1" ht="12.5"/>
    <row r="920" s="9" customFormat="1" ht="12.5"/>
    <row r="921" s="9" customFormat="1" ht="12.5"/>
    <row r="922" s="9" customFormat="1" ht="12.5"/>
    <row r="923" s="9" customFormat="1" ht="12.5"/>
    <row r="924" s="9" customFormat="1" ht="12.5"/>
    <row r="925" s="9" customFormat="1" ht="12.5"/>
    <row r="926" s="9" customFormat="1" ht="12.5"/>
    <row r="927" s="9" customFormat="1" ht="12.5"/>
    <row r="928" s="9" customFormat="1" ht="12.5"/>
    <row r="929" s="9" customFormat="1" ht="12.5"/>
    <row r="930" s="9" customFormat="1" ht="12.5"/>
    <row r="931" s="9" customFormat="1" ht="12.5"/>
    <row r="932" s="9" customFormat="1" ht="12.5"/>
    <row r="933" s="9" customFormat="1" ht="12.5"/>
    <row r="934" s="9" customFormat="1" ht="12.5"/>
    <row r="935" s="9" customFormat="1" ht="12.5"/>
    <row r="936" s="9" customFormat="1" ht="12.5"/>
    <row r="937" s="9" customFormat="1" ht="12.5"/>
    <row r="938" s="9" customFormat="1" ht="12.5"/>
    <row r="939" s="9" customFormat="1" ht="12.5"/>
    <row r="940" s="9" customFormat="1" ht="12.5"/>
    <row r="941" s="9" customFormat="1" ht="12.5"/>
    <row r="942" s="9" customFormat="1" ht="12.5"/>
    <row r="943" s="9" customFormat="1" ht="12.5"/>
    <row r="944" s="9" customFormat="1" ht="12.5"/>
    <row r="945" s="9" customFormat="1" ht="12.5"/>
    <row r="946" s="9" customFormat="1" ht="12.5"/>
    <row r="947" s="9" customFormat="1" ht="12.5"/>
    <row r="948" s="9" customFormat="1" ht="12.5"/>
    <row r="949" s="9" customFormat="1" ht="12.5"/>
    <row r="950" s="9" customFormat="1" ht="12.5"/>
    <row r="951" s="9" customFormat="1" ht="12.5"/>
    <row r="952" s="9" customFormat="1" ht="12.5"/>
    <row r="953" s="9" customFormat="1" ht="12.5"/>
    <row r="954" s="9" customFormat="1" ht="12.5"/>
    <row r="955" s="9" customFormat="1" ht="12.5"/>
    <row r="956" s="9" customFormat="1" ht="12.5"/>
    <row r="957" s="9" customFormat="1" ht="12.5"/>
    <row r="958" s="9" customFormat="1" ht="12.5"/>
    <row r="959" s="9" customFormat="1" ht="12.5"/>
    <row r="960" s="9" customFormat="1" ht="12.5"/>
    <row r="961" s="9" customFormat="1" ht="12.5"/>
    <row r="962" s="9" customFormat="1" ht="12.5"/>
    <row r="963" s="9" customFormat="1" ht="12.5"/>
    <row r="964" s="9" customFormat="1" ht="12.5"/>
    <row r="965" s="9" customFormat="1" ht="12.5"/>
    <row r="966" s="9" customFormat="1" ht="12.5"/>
    <row r="967" s="9" customFormat="1" ht="12.5"/>
    <row r="968" s="9" customFormat="1" ht="12.5"/>
    <row r="969" s="9" customFormat="1" ht="12.5"/>
    <row r="970" s="9" customFormat="1" ht="12.5"/>
    <row r="971" s="9" customFormat="1" ht="12.5"/>
    <row r="972" s="9" customFormat="1" ht="12.5"/>
    <row r="973" s="9" customFormat="1" ht="12.5"/>
    <row r="974" s="9" customFormat="1" ht="12.5"/>
    <row r="975" s="9" customFormat="1" ht="12.5"/>
    <row r="976" s="9" customFormat="1" ht="12.5"/>
    <row r="977" s="9" customFormat="1" ht="12.5"/>
    <row r="978" s="9" customFormat="1" ht="12.5"/>
    <row r="979" s="9" customFormat="1" ht="12.5"/>
    <row r="980" s="9" customFormat="1" ht="12.5"/>
    <row r="981" s="9" customFormat="1" ht="12.5"/>
    <row r="982" s="9" customFormat="1" ht="12.5"/>
    <row r="983" s="9" customFormat="1" ht="12.5"/>
    <row r="984" s="9" customFormat="1" ht="12.5"/>
    <row r="985" s="9" customFormat="1" ht="12.5"/>
    <row r="986" s="9" customFormat="1" ht="12.5"/>
    <row r="987" s="9" customFormat="1" ht="12.5"/>
    <row r="988" s="9" customFormat="1" ht="12.5"/>
    <row r="989" s="9" customFormat="1" ht="12.5"/>
    <row r="990" s="9" customFormat="1" ht="12.5"/>
    <row r="991" s="9" customFormat="1" ht="12.5"/>
    <row r="992" s="9" customFormat="1" ht="12.5"/>
    <row r="993" s="9" customFormat="1" ht="12.5"/>
    <row r="994" s="9" customFormat="1" ht="12.5"/>
    <row r="995" s="9" customFormat="1" ht="12.5"/>
    <row r="996" s="9" customFormat="1" ht="12.5"/>
    <row r="997" s="9" customFormat="1" ht="12.5"/>
    <row r="998" s="9" customFormat="1" ht="12.5"/>
    <row r="999" s="9" customFormat="1" ht="12.5"/>
    <row r="1000" s="9" customFormat="1" ht="12.5"/>
    <row r="1001" s="9" customFormat="1" ht="12.5"/>
    <row r="1002" s="9" customFormat="1" ht="12.5"/>
    <row r="1003" s="9" customFormat="1" ht="12.5"/>
    <row r="1004" s="9" customFormat="1" ht="12.5"/>
    <row r="1005" s="9" customFormat="1" ht="12.5"/>
    <row r="1006" s="9" customFormat="1" ht="12.5"/>
    <row r="1007" s="9" customFormat="1" ht="12.5"/>
    <row r="1008" s="9" customFormat="1" ht="12.5"/>
    <row r="1009" s="9" customFormat="1" ht="12.5"/>
    <row r="1010" s="9" customFormat="1" ht="12.5"/>
    <row r="1011" s="9" customFormat="1" ht="12.5"/>
    <row r="1012" s="9" customFormat="1" ht="12.5"/>
    <row r="1013" s="9" customFormat="1" ht="12.5"/>
    <row r="1014" s="9" customFormat="1" ht="12.5"/>
    <row r="1015" s="9" customFormat="1" ht="12.5"/>
    <row r="1016" s="9" customFormat="1" ht="12.5"/>
    <row r="1017" s="9" customFormat="1" ht="12.5"/>
    <row r="1018" s="9" customFormat="1" ht="12.5"/>
    <row r="1019" s="9" customFormat="1" ht="12.5"/>
    <row r="1020" s="9" customFormat="1" ht="12.5"/>
    <row r="1021" s="9" customFormat="1" ht="12.5"/>
    <row r="1022" s="9" customFormat="1" ht="12.5"/>
    <row r="1023" s="9" customFormat="1" ht="12.5"/>
    <row r="1024" s="9" customFormat="1" ht="12.5"/>
    <row r="1025" s="9" customFormat="1" ht="12.5"/>
    <row r="1026" s="9" customFormat="1" ht="12.5"/>
    <row r="1027" s="9" customFormat="1" ht="12.5"/>
    <row r="1028" s="9" customFormat="1" ht="12.5"/>
    <row r="1029" s="9" customFormat="1" ht="12.5"/>
    <row r="1030" s="9" customFormat="1" ht="12.5"/>
    <row r="1031" s="9" customFormat="1" ht="12.5"/>
    <row r="1032" s="9" customFormat="1" ht="12.5"/>
    <row r="1033" s="9" customFormat="1" ht="12.5"/>
    <row r="1034" s="9" customFormat="1" ht="12.5"/>
    <row r="1035" s="9" customFormat="1" ht="12.5"/>
    <row r="1036" s="9" customFormat="1" ht="12.5"/>
    <row r="1037" s="9" customFormat="1" ht="12.5"/>
    <row r="1038" s="9" customFormat="1" ht="12.5"/>
    <row r="1039" s="9" customFormat="1" ht="12.5"/>
    <row r="1040" s="9" customFormat="1" ht="12.5"/>
    <row r="1041" s="9" customFormat="1" ht="12.5"/>
    <row r="1042" s="9" customFormat="1" ht="12.5"/>
    <row r="1043" s="9" customFormat="1" ht="12.5"/>
    <row r="1044" s="9" customFormat="1" ht="12.5"/>
    <row r="1045" s="9" customFormat="1" ht="12.5"/>
    <row r="1046" s="9" customFormat="1" ht="12.5"/>
    <row r="1047" s="9" customFormat="1" ht="12.5"/>
    <row r="1048" s="9" customFormat="1" ht="12.5"/>
    <row r="1049" s="9" customFormat="1" ht="12.5"/>
    <row r="1050" s="9" customFormat="1" ht="12.5"/>
    <row r="1051" s="9" customFormat="1" ht="12.5"/>
    <row r="1052" s="9" customFormat="1" ht="12.5"/>
    <row r="1053" s="9" customFormat="1" ht="12.5"/>
    <row r="1054" s="9" customFormat="1" ht="12.5"/>
    <row r="1055" s="9" customFormat="1" ht="12.5"/>
    <row r="1056" s="9" customFormat="1" ht="12.5"/>
    <row r="1057" s="9" customFormat="1" ht="12.5"/>
    <row r="1058" s="9" customFormat="1" ht="12.5"/>
    <row r="1059" s="9" customFormat="1" ht="12.5"/>
    <row r="1060" s="9" customFormat="1" ht="12.5"/>
    <row r="1061" s="9" customFormat="1" ht="12.5"/>
    <row r="1062" s="9" customFormat="1" ht="12.5"/>
    <row r="1063" s="9" customFormat="1" ht="12.5"/>
    <row r="1064" s="9" customFormat="1" ht="12.5"/>
    <row r="1065" s="9" customFormat="1" ht="12.5"/>
    <row r="1066" s="9" customFormat="1" ht="12.5"/>
    <row r="1067" s="9" customFormat="1" ht="12.5"/>
    <row r="1068" s="9" customFormat="1" ht="12.5"/>
    <row r="1069" s="9" customFormat="1" ht="12.5"/>
    <row r="1070" s="9" customFormat="1" ht="12.5"/>
    <row r="1071" s="9" customFormat="1" ht="12.5"/>
    <row r="1072" s="9" customFormat="1" ht="12.5"/>
    <row r="1073" s="9" customFormat="1" ht="12.5"/>
    <row r="1074" s="9" customFormat="1" ht="12.5"/>
    <row r="1075" s="9" customFormat="1" ht="12.5"/>
    <row r="1076" s="9" customFormat="1" ht="12.5"/>
    <row r="1077" s="9" customFormat="1" ht="12.5"/>
    <row r="1078" s="9" customFormat="1" ht="12.5"/>
    <row r="1079" s="9" customFormat="1" ht="12.5"/>
    <row r="1080" s="9" customFormat="1" ht="12.5"/>
    <row r="1081" s="9" customFormat="1" ht="12.5"/>
    <row r="1082" s="9" customFormat="1" ht="12.5"/>
    <row r="1083" s="9" customFormat="1" ht="12.5"/>
    <row r="1084" s="9" customFormat="1" ht="12.5"/>
    <row r="1085" s="9" customFormat="1" ht="12.5"/>
    <row r="1086" s="9" customFormat="1" ht="12.5"/>
    <row r="1087" s="9" customFormat="1" ht="12.5"/>
    <row r="1088" s="9" customFormat="1" ht="12.5"/>
    <row r="1089" s="9" customFormat="1" ht="12.5"/>
    <row r="1090" s="9" customFormat="1" ht="12.5"/>
    <row r="1091" s="9" customFormat="1" ht="12.5"/>
    <row r="1092" s="9" customFormat="1" ht="12.5"/>
    <row r="1093" s="9" customFormat="1" ht="12.5"/>
    <row r="1094" s="9" customFormat="1" ht="12.5"/>
    <row r="1095" s="9" customFormat="1" ht="12.5"/>
    <row r="1096" s="9" customFormat="1" ht="12.5"/>
    <row r="1097" s="9" customFormat="1" ht="12.5"/>
    <row r="1098" s="9" customFormat="1" ht="12.5"/>
    <row r="1099" s="9" customFormat="1" ht="12.5"/>
    <row r="1100" s="9" customFormat="1" ht="12.5"/>
    <row r="1101" s="9" customFormat="1" ht="12.5"/>
    <row r="1102" s="9" customFormat="1" ht="12.5"/>
    <row r="1103" s="9" customFormat="1" ht="12.5"/>
    <row r="1104" s="9" customFormat="1" ht="12.5"/>
    <row r="1105" s="9" customFormat="1" ht="12.5"/>
    <row r="1106" s="9" customFormat="1" ht="12.5"/>
    <row r="1107" s="9" customFormat="1" ht="12.5"/>
    <row r="1108" s="9" customFormat="1" ht="12.5"/>
    <row r="1109" s="9" customFormat="1" ht="12.5"/>
    <row r="1110" s="9" customFormat="1" ht="12.5"/>
    <row r="1111" s="9" customFormat="1" ht="12.5"/>
    <row r="1112" s="9" customFormat="1" ht="12.5"/>
    <row r="1113" s="9" customFormat="1" ht="12.5"/>
    <row r="1114" s="9" customFormat="1" ht="12.5"/>
    <row r="1115" s="9" customFormat="1" ht="12.5"/>
    <row r="1116" s="9" customFormat="1" ht="12.5"/>
    <row r="1117" s="9" customFormat="1" ht="12.5"/>
    <row r="1118" s="9" customFormat="1" ht="12.5"/>
    <row r="1119" s="9" customFormat="1" ht="12.5"/>
    <row r="1120" s="9" customFormat="1" ht="12.5"/>
    <row r="1121" s="9" customFormat="1" ht="12.5"/>
    <row r="1122" s="9" customFormat="1" ht="12.5"/>
    <row r="1123" s="9" customFormat="1" ht="12.5"/>
    <row r="1124" s="9" customFormat="1" ht="12.5"/>
    <row r="1125" s="9" customFormat="1" ht="12.5"/>
    <row r="1126" s="9" customFormat="1" ht="12.5"/>
    <row r="1127" s="9" customFormat="1" ht="12.5"/>
    <row r="1128" s="9" customFormat="1" ht="12.5"/>
    <row r="1129" s="9" customFormat="1" ht="12.5"/>
    <row r="1130" s="9" customFormat="1" ht="12.5"/>
    <row r="1131" s="9" customFormat="1" ht="12.5"/>
    <row r="1132" s="9" customFormat="1" ht="12.5"/>
    <row r="1133" s="9" customFormat="1" ht="12.5"/>
    <row r="1134" s="9" customFormat="1" ht="12.5"/>
    <row r="1135" s="9" customFormat="1" ht="12.5"/>
    <row r="1136" s="9" customFormat="1" ht="12.5"/>
    <row r="1137" s="9" customFormat="1" ht="12.5"/>
    <row r="1138" s="9" customFormat="1" ht="12.5"/>
    <row r="1139" s="9" customFormat="1" ht="12.5"/>
    <row r="1140" s="9" customFormat="1" ht="12.5"/>
    <row r="1141" s="9" customFormat="1" ht="12.5"/>
    <row r="1142" s="9" customFormat="1" ht="12.5"/>
    <row r="1143" s="9" customFormat="1" ht="12.5"/>
    <row r="1144" s="9" customFormat="1" ht="12.5"/>
    <row r="1145" s="9" customFormat="1" ht="12.5"/>
    <row r="1146" s="9" customFormat="1" ht="12.5"/>
    <row r="1147" s="9" customFormat="1" ht="12.5"/>
    <row r="1148" s="9" customFormat="1" ht="12.5"/>
    <row r="1149" s="9" customFormat="1" ht="12.5"/>
    <row r="1150" s="9" customFormat="1" ht="12.5"/>
    <row r="1151" s="9" customFormat="1" ht="12.5"/>
    <row r="1152" s="9" customFormat="1" ht="12.5"/>
    <row r="1153" s="9" customFormat="1" ht="12.5"/>
    <row r="1154" s="9" customFormat="1" ht="12.5"/>
    <row r="1155" s="9" customFormat="1" ht="12.5"/>
    <row r="1156" s="9" customFormat="1" ht="12.5"/>
    <row r="1157" s="9" customFormat="1" ht="12.5"/>
    <row r="1158" s="9" customFormat="1" ht="12.5"/>
    <row r="1159" s="9" customFormat="1" ht="12.5"/>
    <row r="1160" s="9" customFormat="1" ht="12.5"/>
    <row r="1161" s="9" customFormat="1" ht="12.5"/>
    <row r="1162" s="9" customFormat="1" ht="12.5"/>
    <row r="1163" s="9" customFormat="1" ht="12.5"/>
    <row r="1164" s="9" customFormat="1" ht="12.5"/>
    <row r="1165" s="9" customFormat="1" ht="12.5"/>
    <row r="1166" s="9" customFormat="1" ht="12.5"/>
    <row r="1167" s="9" customFormat="1" ht="12.5"/>
    <row r="1168" s="9" customFormat="1" ht="12.5"/>
    <row r="1169" s="9" customFormat="1" ht="12.5"/>
    <row r="1170" s="9" customFormat="1" ht="12.5"/>
    <row r="1171" s="9" customFormat="1" ht="12.5"/>
    <row r="1172" s="9" customFormat="1" ht="12.5"/>
    <row r="1173" s="9" customFormat="1" ht="12.5"/>
    <row r="1174" s="9" customFormat="1" ht="12.5"/>
    <row r="1175" s="9" customFormat="1" ht="12.5"/>
    <row r="1176" s="9" customFormat="1" ht="12.5"/>
    <row r="1177" s="9" customFormat="1" ht="12.5"/>
    <row r="1178" s="9" customFormat="1" ht="12.5"/>
    <row r="1179" s="9" customFormat="1" ht="12.5"/>
    <row r="1180" s="9" customFormat="1" ht="12.5"/>
    <row r="1181" s="9" customFormat="1" ht="12.5"/>
    <row r="1182" s="9" customFormat="1" ht="12.5"/>
    <row r="1183" s="9" customFormat="1" ht="12.5"/>
    <row r="1184" s="9" customFormat="1" ht="12.5"/>
    <row r="1185" s="9" customFormat="1" ht="12.5"/>
    <row r="1186" s="9" customFormat="1" ht="12.5"/>
    <row r="1187" s="9" customFormat="1" ht="12.5"/>
    <row r="1188" s="9" customFormat="1" ht="12.5"/>
    <row r="1189" s="9" customFormat="1" ht="12.5"/>
    <row r="1190" s="9" customFormat="1" ht="12.5"/>
    <row r="1191" s="9" customFormat="1" ht="12.5"/>
    <row r="1192" s="9" customFormat="1" ht="12.5"/>
    <row r="1193" s="9" customFormat="1" ht="12.5"/>
    <row r="1194" s="9" customFormat="1" ht="12.5"/>
    <row r="1195" s="9" customFormat="1" ht="12.5"/>
    <row r="1196" s="9" customFormat="1" ht="12.5"/>
    <row r="1197" s="9" customFormat="1" ht="12.5"/>
    <row r="1198" s="9" customFormat="1" ht="12.5"/>
    <row r="1199" s="9" customFormat="1" ht="12.5"/>
    <row r="1200" s="9" customFormat="1" ht="12.5"/>
    <row r="1201" s="9" customFormat="1" ht="12.5"/>
    <row r="1202" s="9" customFormat="1" ht="12.5"/>
    <row r="1203" s="9" customFormat="1" ht="12.5"/>
    <row r="1204" s="9" customFormat="1" ht="12.5"/>
    <row r="1205" s="9" customFormat="1" ht="12.5"/>
    <row r="1206" s="9" customFormat="1" ht="12.5"/>
    <row r="1207" s="9" customFormat="1" ht="12.5"/>
    <row r="1208" s="9" customFormat="1" ht="12.5"/>
    <row r="1209" s="9" customFormat="1" ht="12.5"/>
    <row r="1210" s="9" customFormat="1" ht="12.5"/>
    <row r="1211" s="9" customFormat="1" ht="12.5"/>
    <row r="1212" s="9" customFormat="1" ht="12.5"/>
    <row r="1213" s="9" customFormat="1" ht="12.5"/>
    <row r="1214" s="9" customFormat="1" ht="12.5"/>
    <row r="1215" s="9" customFormat="1" ht="12.5"/>
    <row r="1216" s="9" customFormat="1" ht="12.5"/>
    <row r="1217" s="9" customFormat="1" ht="12.5"/>
    <row r="1218" s="9" customFormat="1" ht="12.5"/>
    <row r="1219" s="9" customFormat="1" ht="12.5"/>
    <row r="1220" s="9" customFormat="1" ht="12.5"/>
    <row r="1221" s="9" customFormat="1" ht="12.5"/>
    <row r="1222" s="9" customFormat="1" ht="12.5"/>
    <row r="1223" s="9" customFormat="1" ht="12.5"/>
    <row r="1224" s="9" customFormat="1" ht="12.5"/>
    <row r="1225" s="9" customFormat="1" ht="12.5"/>
    <row r="1226" s="9" customFormat="1" ht="12.5"/>
    <row r="1227" s="9" customFormat="1" ht="12.5"/>
    <row r="1228" s="9" customFormat="1" ht="12.5"/>
    <row r="1229" s="9" customFormat="1" ht="12.5"/>
    <row r="1230" s="9" customFormat="1" ht="12.5"/>
    <row r="1231" s="9" customFormat="1" ht="12.5"/>
    <row r="1232" s="9" customFormat="1" ht="12.5"/>
    <row r="1233" s="9" customFormat="1" ht="12.5"/>
    <row r="1234" s="9" customFormat="1" ht="12.5"/>
    <row r="1235" s="9" customFormat="1" ht="12.5"/>
    <row r="1236" s="9" customFormat="1" ht="12.5"/>
    <row r="1237" s="9" customFormat="1" ht="12.5"/>
    <row r="1238" s="9" customFormat="1" ht="12.5"/>
    <row r="1239" s="9" customFormat="1" ht="12.5"/>
    <row r="1240" s="9" customFormat="1" ht="12.5"/>
    <row r="1241" s="9" customFormat="1" ht="12.5"/>
    <row r="1242" s="9" customFormat="1" ht="12.5"/>
    <row r="1243" s="9" customFormat="1" ht="12.5"/>
    <row r="1244" s="9" customFormat="1" ht="12.5"/>
    <row r="1245" s="9" customFormat="1" ht="12.5"/>
    <row r="1246" s="9" customFormat="1" ht="12.5"/>
    <row r="1247" s="9" customFormat="1" ht="12.5"/>
    <row r="1248" s="9" customFormat="1" ht="12.5"/>
    <row r="1249" s="9" customFormat="1" ht="12.5"/>
    <row r="1250" s="9" customFormat="1" ht="12.5"/>
    <row r="1251" s="9" customFormat="1" ht="12.5"/>
    <row r="1252" s="9" customFormat="1" ht="12.5"/>
    <row r="1253" s="9" customFormat="1" ht="12.5"/>
    <row r="1254" s="9" customFormat="1" ht="12.5"/>
    <row r="1255" s="9" customFormat="1" ht="12.5"/>
    <row r="1256" s="9" customFormat="1" ht="12.5"/>
    <row r="1257" s="9" customFormat="1" ht="12.5"/>
    <row r="1258" s="9" customFormat="1" ht="12.5"/>
    <row r="1259" s="9" customFormat="1" ht="12.5"/>
    <row r="1260" s="9" customFormat="1" ht="12.5"/>
    <row r="1261" s="9" customFormat="1" ht="12.5"/>
    <row r="1262" s="9" customFormat="1" ht="12.5"/>
    <row r="1263" s="9" customFormat="1" ht="12.5"/>
    <row r="1264" s="9" customFormat="1" ht="12.5"/>
    <row r="1265" s="9" customFormat="1" ht="12.5"/>
    <row r="1266" s="9" customFormat="1" ht="12.5"/>
    <row r="1267" s="9" customFormat="1" ht="12.5"/>
    <row r="1268" s="9" customFormat="1" ht="12.5"/>
    <row r="1269" s="9" customFormat="1" ht="12.5"/>
    <row r="1270" s="9" customFormat="1" ht="12.5"/>
    <row r="1271" s="9" customFormat="1" ht="12.5"/>
    <row r="1272" s="9" customFormat="1" ht="12.5"/>
    <row r="1273" s="9" customFormat="1" ht="12.5"/>
    <row r="1274" s="9" customFormat="1" ht="12.5"/>
    <row r="1275" s="9" customFormat="1" ht="12.5"/>
    <row r="1276" s="9" customFormat="1" ht="12.5"/>
    <row r="1277" s="9" customFormat="1" ht="12.5"/>
    <row r="1278" s="9" customFormat="1" ht="12.5"/>
    <row r="1279" s="9" customFormat="1" ht="12.5"/>
    <row r="1280" s="9" customFormat="1" ht="12.5"/>
    <row r="1281" s="9" customFormat="1" ht="12.5"/>
    <row r="1282" s="9" customFormat="1" ht="12.5"/>
    <row r="1283" s="9" customFormat="1" ht="12.5"/>
    <row r="1284" s="9" customFormat="1" ht="12.5"/>
    <row r="1285" s="9" customFormat="1" ht="12.5"/>
    <row r="1286" s="9" customFormat="1" ht="12.5"/>
    <row r="1287" s="9" customFormat="1" ht="12.5"/>
    <row r="1288" s="9" customFormat="1" ht="12.5"/>
    <row r="1289" s="9" customFormat="1" ht="12.5"/>
    <row r="1290" s="9" customFormat="1" ht="12.5"/>
    <row r="1291" s="9" customFormat="1" ht="12.5"/>
    <row r="1292" s="9" customFormat="1" ht="12.5"/>
    <row r="1293" s="9" customFormat="1" ht="12.5"/>
    <row r="1294" s="9" customFormat="1" ht="12.5"/>
    <row r="1295" s="9" customFormat="1" ht="12.5"/>
    <row r="1296" s="9" customFormat="1" ht="12.5"/>
    <row r="1297" s="9" customFormat="1" ht="12.5"/>
    <row r="1298" s="9" customFormat="1" ht="12.5"/>
    <row r="1299" s="9" customFormat="1" ht="12.5"/>
    <row r="1300" s="9" customFormat="1" ht="12.5"/>
    <row r="1301" s="9" customFormat="1" ht="12.5"/>
    <row r="1302" s="9" customFormat="1" ht="12.5"/>
    <row r="1303" s="9" customFormat="1" ht="12.5"/>
    <row r="1304" s="9" customFormat="1" ht="12.5"/>
    <row r="1305" s="9" customFormat="1" ht="12.5"/>
    <row r="1306" s="9" customFormat="1" ht="12.5"/>
    <row r="1307" s="9" customFormat="1" ht="12.5"/>
    <row r="1308" s="9" customFormat="1" ht="12.5"/>
    <row r="1309" s="9" customFormat="1" ht="12.5"/>
    <row r="1310" s="9" customFormat="1" ht="12.5"/>
    <row r="1311" s="9" customFormat="1" ht="12.5"/>
    <row r="1312" s="9" customFormat="1" ht="12.5"/>
    <row r="1313" s="9" customFormat="1" ht="12.5"/>
    <row r="1314" s="9" customFormat="1" ht="12.5"/>
    <row r="1315" s="9" customFormat="1" ht="12.5"/>
    <row r="1316" s="9" customFormat="1" ht="12.5"/>
    <row r="1317" s="9" customFormat="1" ht="12.5"/>
    <row r="1318" s="9" customFormat="1" ht="12.5"/>
    <row r="1319" s="9" customFormat="1" ht="12.5"/>
    <row r="1320" s="9" customFormat="1" ht="12.5"/>
    <row r="1321" s="9" customFormat="1" ht="12.5"/>
    <row r="1322" s="9" customFormat="1" ht="12.5"/>
    <row r="1323" s="9" customFormat="1" ht="12.5"/>
    <row r="1324" s="9" customFormat="1" ht="12.5"/>
    <row r="1325" s="9" customFormat="1" ht="12.5"/>
    <row r="1326" s="9" customFormat="1" ht="12.5"/>
    <row r="1327" s="9" customFormat="1" ht="12.5"/>
    <row r="1328" s="9" customFormat="1" ht="12.5"/>
    <row r="1329" s="9" customFormat="1" ht="12.5"/>
    <row r="1330" s="9" customFormat="1" ht="12.5"/>
    <row r="1331" s="9" customFormat="1" ht="12.5"/>
    <row r="1332" s="9" customFormat="1" ht="12.5"/>
    <row r="1333" s="9" customFormat="1" ht="12.5"/>
    <row r="1334" s="9" customFormat="1" ht="12.5"/>
    <row r="1335" s="9" customFormat="1" ht="12.5"/>
    <row r="1336" s="9" customFormat="1" ht="12.5"/>
    <row r="1337" s="9" customFormat="1" ht="12.5"/>
    <row r="1338" s="9" customFormat="1" ht="12.5"/>
    <row r="1339" s="9" customFormat="1" ht="12.5"/>
    <row r="1340" s="9" customFormat="1" ht="12.5"/>
    <row r="1341" s="9" customFormat="1" ht="12.5"/>
    <row r="1342" s="9" customFormat="1" ht="12.5"/>
    <row r="1343" s="9" customFormat="1" ht="12.5"/>
    <row r="1344" s="9" customFormat="1" ht="12.5"/>
    <row r="1345" s="9" customFormat="1" ht="12.5"/>
    <row r="1346" s="9" customFormat="1" ht="12.5"/>
    <row r="1347" s="9" customFormat="1" ht="12.5"/>
    <row r="1348" s="9" customFormat="1" ht="12.5"/>
    <row r="1349" s="9" customFormat="1" ht="12.5"/>
    <row r="1350" s="9" customFormat="1" ht="12.5"/>
    <row r="1351" s="9" customFormat="1" ht="12.5"/>
    <row r="1352" s="9" customFormat="1" ht="12.5"/>
    <row r="1353" s="9" customFormat="1" ht="12.5"/>
    <row r="1354" s="9" customFormat="1" ht="12.5"/>
    <row r="1355" s="9" customFormat="1" ht="12.5"/>
    <row r="1356" s="9" customFormat="1" ht="12.5"/>
    <row r="1357" s="9" customFormat="1" ht="12.5"/>
    <row r="1358" s="9" customFormat="1" ht="12.5"/>
    <row r="1359" s="9" customFormat="1" ht="12.5"/>
    <row r="1360" s="9" customFormat="1" ht="12.5"/>
    <row r="1361" s="9" customFormat="1" ht="12.5"/>
    <row r="1362" s="9" customFormat="1" ht="12.5"/>
    <row r="1363" s="9" customFormat="1" ht="12.5"/>
    <row r="1364" s="9" customFormat="1" ht="12.5"/>
    <row r="1365" s="9" customFormat="1" ht="12.5"/>
    <row r="1366" s="9" customFormat="1" ht="12.5"/>
    <row r="1367" s="9" customFormat="1" ht="12.5"/>
    <row r="1368" s="9" customFormat="1" ht="12.5"/>
    <row r="1369" s="9" customFormat="1" ht="12.5"/>
    <row r="1370" s="9" customFormat="1" ht="12.5"/>
    <row r="1371" s="9" customFormat="1" ht="12.5"/>
    <row r="1372" s="9" customFormat="1" ht="12.5"/>
    <row r="1373" s="9" customFormat="1" ht="12.5"/>
    <row r="1374" s="9" customFormat="1" ht="12.5"/>
    <row r="1375" s="9" customFormat="1" ht="12.5"/>
    <row r="1376" s="9" customFormat="1" ht="12.5"/>
    <row r="1377" s="9" customFormat="1" ht="12.5"/>
    <row r="1378" s="9" customFormat="1" ht="12.5"/>
    <row r="1379" s="9" customFormat="1" ht="12.5"/>
    <row r="1380" s="9" customFormat="1" ht="12.5"/>
    <row r="1381" s="9" customFormat="1" ht="12.5"/>
    <row r="1382" s="9" customFormat="1" ht="12.5"/>
    <row r="1383" s="9" customFormat="1" ht="12.5"/>
    <row r="1384" s="9" customFormat="1" ht="12.5"/>
    <row r="1385" s="9" customFormat="1" ht="12.5"/>
    <row r="1386" s="9" customFormat="1" ht="12.5"/>
    <row r="1387" s="9" customFormat="1" ht="12.5"/>
    <row r="1388" s="9" customFormat="1" ht="12.5"/>
    <row r="1389" s="9" customFormat="1" ht="12.5"/>
    <row r="1390" s="9" customFormat="1" ht="12.5"/>
    <row r="1391" s="9" customFormat="1" ht="12.5"/>
    <row r="1392" s="9" customFormat="1" ht="12.5"/>
    <row r="1393" s="9" customFormat="1" ht="12.5"/>
    <row r="1394" s="9" customFormat="1" ht="12.5"/>
    <row r="1395" s="9" customFormat="1" ht="12.5"/>
    <row r="1396" s="9" customFormat="1" ht="12.5"/>
    <row r="1397" s="9" customFormat="1" ht="12.5"/>
    <row r="1398" s="9" customFormat="1" ht="12.5"/>
    <row r="1399" s="9" customFormat="1" ht="12.5"/>
    <row r="1400" s="9" customFormat="1" ht="12.5"/>
    <row r="1401" s="9" customFormat="1" ht="12.5"/>
    <row r="1402" s="9" customFormat="1" ht="12.5"/>
    <row r="1403" s="9" customFormat="1" ht="12.5"/>
    <row r="1404" s="9" customFormat="1" ht="12.5"/>
    <row r="1405" s="9" customFormat="1" ht="12.5"/>
    <row r="1406" s="9" customFormat="1" ht="12.5"/>
    <row r="1407" s="9" customFormat="1" ht="12.5"/>
    <row r="1408" s="9" customFormat="1" ht="12.5"/>
    <row r="1409" s="9" customFormat="1" ht="12.5"/>
    <row r="1410" s="9" customFormat="1" ht="12.5"/>
    <row r="1411" s="9" customFormat="1" ht="12.5"/>
    <row r="1412" s="9" customFormat="1" ht="12.5"/>
    <row r="1413" s="9" customFormat="1" ht="12.5"/>
    <row r="1414" s="9" customFormat="1" ht="12.5"/>
    <row r="1415" s="9" customFormat="1" ht="12.5"/>
    <row r="1416" s="9" customFormat="1" ht="12.5"/>
    <row r="1417" s="9" customFormat="1" ht="12.5"/>
    <row r="1418" s="9" customFormat="1" ht="12.5"/>
    <row r="1419" s="9" customFormat="1" ht="12.5"/>
    <row r="1420" s="9" customFormat="1" ht="12.5"/>
    <row r="1421" s="9" customFormat="1" ht="12.5"/>
    <row r="1422" s="9" customFormat="1" ht="12.5"/>
    <row r="1423" s="9" customFormat="1" ht="12.5"/>
    <row r="1424" s="9" customFormat="1" ht="12.5"/>
    <row r="1425" s="9" customFormat="1" ht="12.5"/>
    <row r="1426" s="9" customFormat="1" ht="12.5"/>
    <row r="1427" s="9" customFormat="1" ht="12.5"/>
    <row r="1428" s="9" customFormat="1" ht="12.5"/>
    <row r="1429" s="9" customFormat="1" ht="12.5"/>
    <row r="1430" s="9" customFormat="1" ht="12.5"/>
    <row r="1431" s="9" customFormat="1" ht="12.5"/>
    <row r="1432" s="9" customFormat="1" ht="12.5"/>
    <row r="1433" s="9" customFormat="1" ht="12.5"/>
    <row r="1434" s="9" customFormat="1" ht="12.5"/>
    <row r="1435" s="9" customFormat="1" ht="12.5"/>
    <row r="1436" s="9" customFormat="1" ht="12.5"/>
    <row r="1437" s="9" customFormat="1" ht="12.5"/>
    <row r="1438" s="9" customFormat="1" ht="12.5"/>
    <row r="1439" s="9" customFormat="1" ht="12.5"/>
    <row r="1440" s="9" customFormat="1" ht="12.5"/>
    <row r="1441" s="9" customFormat="1" ht="12.5"/>
    <row r="1442" s="9" customFormat="1" ht="12.5"/>
    <row r="1443" s="9" customFormat="1" ht="12.5"/>
    <row r="1444" s="9" customFormat="1" ht="12.5"/>
    <row r="1445" s="9" customFormat="1" ht="12.5"/>
    <row r="1446" s="9" customFormat="1" ht="12.5"/>
    <row r="1447" s="9" customFormat="1" ht="12.5"/>
    <row r="1448" s="9" customFormat="1" ht="12.5"/>
    <row r="1449" s="9" customFormat="1" ht="12.5"/>
    <row r="1450" s="9" customFormat="1" ht="12.5"/>
    <row r="1451" s="9" customFormat="1" ht="12.5"/>
    <row r="1452" s="9" customFormat="1" ht="12.5"/>
    <row r="1453" s="9" customFormat="1" ht="12.5"/>
    <row r="1454" s="9" customFormat="1" ht="12.5"/>
    <row r="1455" s="9" customFormat="1" ht="12.5"/>
    <row r="1456" s="9" customFormat="1" ht="12.5"/>
    <row r="1457" s="9" customFormat="1" ht="12.5"/>
    <row r="1458" s="9" customFormat="1" ht="12.5"/>
    <row r="1459" s="9" customFormat="1" ht="12.5"/>
    <row r="1460" s="9" customFormat="1" ht="12.5"/>
    <row r="1461" s="9" customFormat="1" ht="12.5"/>
    <row r="1462" s="9" customFormat="1" ht="12.5"/>
    <row r="1463" s="9" customFormat="1" ht="12.5"/>
    <row r="1464" s="9" customFormat="1" ht="12.5"/>
    <row r="1465" s="9" customFormat="1" ht="12.5"/>
    <row r="1466" s="9" customFormat="1" ht="12.5"/>
    <row r="1467" s="9" customFormat="1" ht="12.5"/>
    <row r="1468" s="9" customFormat="1" ht="12.5"/>
    <row r="1469" s="9" customFormat="1" ht="12.5"/>
    <row r="1470" s="9" customFormat="1" ht="12.5"/>
    <row r="1471" s="9" customFormat="1" ht="12.5"/>
    <row r="1472" s="9" customFormat="1" ht="12.5"/>
    <row r="1473" s="9" customFormat="1" ht="12.5"/>
    <row r="1474" s="9" customFormat="1" ht="12.5"/>
    <row r="1475" s="9" customFormat="1" ht="12.5"/>
    <row r="1476" s="9" customFormat="1" ht="12.5"/>
    <row r="1477" s="9" customFormat="1" ht="12.5"/>
    <row r="1478" s="9" customFormat="1" ht="12.5"/>
    <row r="1479" s="9" customFormat="1" ht="12.5"/>
    <row r="1480" s="9" customFormat="1" ht="12.5"/>
    <row r="1481" s="9" customFormat="1" ht="12.5"/>
    <row r="1482" s="9" customFormat="1" ht="12.5"/>
    <row r="1483" s="9" customFormat="1" ht="12.5"/>
    <row r="1484" s="9" customFormat="1" ht="12.5"/>
    <row r="1485" s="9" customFormat="1" ht="12.5"/>
    <row r="1486" s="9" customFormat="1" ht="12.5"/>
    <row r="1487" s="9" customFormat="1" ht="12.5"/>
    <row r="1488" s="9" customFormat="1" ht="12.5"/>
    <row r="1489" s="9" customFormat="1" ht="12.5"/>
    <row r="1490" s="9" customFormat="1" ht="12.5"/>
    <row r="1491" s="9" customFormat="1" ht="12.5"/>
    <row r="1492" s="9" customFormat="1" ht="12.5"/>
    <row r="1493" s="9" customFormat="1" ht="12.5"/>
    <row r="1494" s="9" customFormat="1" ht="12.5"/>
    <row r="1495" s="9" customFormat="1" ht="12.5"/>
    <row r="1496" s="9" customFormat="1" ht="12.5"/>
    <row r="1497" s="9" customFormat="1" ht="12.5"/>
    <row r="1498" s="9" customFormat="1" ht="12.5"/>
    <row r="1499" s="9" customFormat="1" ht="12.5"/>
    <row r="1500" s="9" customFormat="1" ht="12.5"/>
    <row r="1501" s="9" customFormat="1" ht="12.5"/>
    <row r="1502" s="9" customFormat="1" ht="12.5"/>
    <row r="1503" s="9" customFormat="1" ht="12.5"/>
    <row r="1504" s="9" customFormat="1" ht="12.5"/>
    <row r="1505" s="9" customFormat="1" ht="12.5"/>
    <row r="1506" s="9" customFormat="1" ht="12.5"/>
    <row r="1507" s="9" customFormat="1" ht="12.5"/>
    <row r="1508" s="9" customFormat="1" ht="12.5"/>
    <row r="1509" s="9" customFormat="1" ht="12.5"/>
    <row r="1510" s="9" customFormat="1" ht="12.5"/>
    <row r="1511" s="9" customFormat="1" ht="12.5"/>
    <row r="1512" s="9" customFormat="1" ht="12.5"/>
    <row r="1513" s="9" customFormat="1" ht="12.5"/>
    <row r="1514" s="9" customFormat="1" ht="12.5"/>
    <row r="1515" s="9" customFormat="1" ht="12.5"/>
    <row r="1516" s="9" customFormat="1" ht="12.5"/>
    <row r="1517" s="9" customFormat="1" ht="12.5"/>
    <row r="1518" s="9" customFormat="1" ht="12.5"/>
    <row r="1519" s="9" customFormat="1" ht="12.5"/>
    <row r="1520" s="9" customFormat="1" ht="12.5"/>
    <row r="1521" s="9" customFormat="1" ht="12.5"/>
    <row r="1522" s="9" customFormat="1" ht="12.5"/>
    <row r="1523" s="9" customFormat="1" ht="12.5"/>
    <row r="1524" s="9" customFormat="1" ht="12.5"/>
    <row r="1525" s="9" customFormat="1" ht="12.5"/>
    <row r="1526" s="9" customFormat="1" ht="12.5"/>
    <row r="1527" s="9" customFormat="1" ht="12.5"/>
    <row r="1528" s="9" customFormat="1" ht="12.5"/>
    <row r="1529" s="9" customFormat="1" ht="12.5"/>
    <row r="1530" s="9" customFormat="1" ht="12.5"/>
    <row r="1531" s="9" customFormat="1" ht="12.5"/>
    <row r="1532" s="9" customFormat="1" ht="12.5"/>
    <row r="1533" s="9" customFormat="1" ht="12.5"/>
    <row r="1534" s="9" customFormat="1" ht="12.5"/>
    <row r="1535" s="9" customFormat="1" ht="12.5"/>
    <row r="1536" s="9" customFormat="1" ht="12.5"/>
    <row r="1537" s="9" customFormat="1" ht="12.5"/>
    <row r="1538" s="9" customFormat="1" ht="12.5"/>
    <row r="1539" s="9" customFormat="1" ht="12.5"/>
    <row r="1540" s="9" customFormat="1" ht="12.5"/>
    <row r="1541" s="9" customFormat="1" ht="12.5"/>
    <row r="1542" s="9" customFormat="1" ht="12.5"/>
    <row r="1543" s="9" customFormat="1" ht="12.5"/>
    <row r="1544" s="9" customFormat="1" ht="12.5"/>
    <row r="1545" s="9" customFormat="1" ht="12.5"/>
    <row r="1546" s="9" customFormat="1" ht="12.5"/>
    <row r="1547" s="9" customFormat="1" ht="12.5"/>
    <row r="1548" s="9" customFormat="1" ht="12.5"/>
    <row r="1549" s="9" customFormat="1" ht="12.5"/>
    <row r="1550" s="9" customFormat="1" ht="12.5"/>
    <row r="1551" s="9" customFormat="1" ht="12.5"/>
    <row r="1552" s="9" customFormat="1" ht="12.5"/>
    <row r="1553" s="9" customFormat="1" ht="12.5"/>
    <row r="1554" s="9" customFormat="1" ht="12.5"/>
    <row r="1555" s="9" customFormat="1" ht="12.5"/>
    <row r="1556" s="9" customFormat="1" ht="12.5"/>
    <row r="1557" s="9" customFormat="1" ht="12.5"/>
    <row r="1558" s="9" customFormat="1" ht="12.5"/>
    <row r="1559" s="9" customFormat="1" ht="12.5"/>
    <row r="1560" s="9" customFormat="1" ht="12.5"/>
    <row r="1561" s="9" customFormat="1" ht="12.5"/>
    <row r="1562" s="9" customFormat="1" ht="12.5"/>
    <row r="1563" s="9" customFormat="1" ht="12.5"/>
    <row r="1564" s="9" customFormat="1" ht="12.5"/>
    <row r="1565" s="9" customFormat="1" ht="12.5"/>
    <row r="1566" s="9" customFormat="1" ht="12.5"/>
    <row r="1567" s="9" customFormat="1" ht="12.5"/>
    <row r="1568" s="9" customFormat="1" ht="12.5"/>
    <row r="1569" s="9" customFormat="1" ht="12.5"/>
    <row r="1570" s="9" customFormat="1" ht="12.5"/>
    <row r="1571" s="9" customFormat="1" ht="12.5"/>
    <row r="1572" s="9" customFormat="1" ht="12.5"/>
    <row r="1573" s="9" customFormat="1" ht="12.5"/>
    <row r="1574" s="9" customFormat="1" ht="12.5"/>
    <row r="1575" s="9" customFormat="1" ht="12.5"/>
    <row r="1576" s="9" customFormat="1" ht="12.5"/>
    <row r="1577" s="9" customFormat="1" ht="12.5"/>
    <row r="1578" s="9" customFormat="1" ht="12.5"/>
    <row r="1579" s="9" customFormat="1" ht="12.5"/>
    <row r="1580" s="9" customFormat="1" ht="12.5"/>
    <row r="1581" s="9" customFormat="1" ht="12.5"/>
    <row r="1582" s="9" customFormat="1" ht="12.5"/>
    <row r="1583" s="9" customFormat="1" ht="12.5"/>
    <row r="1584" s="9" customFormat="1" ht="12.5"/>
    <row r="1585" s="9" customFormat="1" ht="12.5"/>
    <row r="1586" s="9" customFormat="1" ht="12.5"/>
    <row r="1587" s="9" customFormat="1" ht="12.5"/>
    <row r="1588" s="9" customFormat="1" ht="12.5"/>
    <row r="1589" s="9" customFormat="1" ht="12.5"/>
    <row r="1590" s="9" customFormat="1" ht="12.5"/>
    <row r="1591" s="9" customFormat="1" ht="12.5"/>
    <row r="1592" s="9" customFormat="1" ht="12.5"/>
    <row r="1593" s="9" customFormat="1" ht="12.5"/>
    <row r="1594" s="9" customFormat="1" ht="12.5"/>
    <row r="1595" s="9" customFormat="1" ht="12.5"/>
    <row r="1596" s="9" customFormat="1" ht="12.5"/>
    <row r="1597" s="9" customFormat="1" ht="12.5"/>
    <row r="1598" s="9" customFormat="1" ht="12.5"/>
    <row r="1599" s="9" customFormat="1" ht="12.5"/>
    <row r="1600" s="9" customFormat="1" ht="12.5"/>
    <row r="1601" s="9" customFormat="1" ht="12.5"/>
    <row r="1602" s="9" customFormat="1" ht="12.5"/>
    <row r="1603" s="9" customFormat="1" ht="12.5"/>
    <row r="1604" s="9" customFormat="1" ht="12.5"/>
    <row r="1605" s="9" customFormat="1" ht="12.5"/>
    <row r="1606" s="9" customFormat="1" ht="12.5"/>
    <row r="1607" s="9" customFormat="1" ht="12.5"/>
    <row r="1608" s="9" customFormat="1" ht="12.5"/>
    <row r="1609" s="9" customFormat="1" ht="12.5"/>
    <row r="1610" s="9" customFormat="1" ht="12.5"/>
    <row r="1611" s="9" customFormat="1" ht="12.5"/>
    <row r="1612" s="9" customFormat="1" ht="12.5"/>
    <row r="1613" s="9" customFormat="1" ht="12.5"/>
    <row r="1614" s="9" customFormat="1" ht="12.5"/>
    <row r="1615" s="9" customFormat="1" ht="12.5"/>
    <row r="1616" s="9" customFormat="1" ht="12.5"/>
    <row r="1617" s="9" customFormat="1" ht="12.5"/>
    <row r="1618" s="9" customFormat="1" ht="12.5"/>
    <row r="1619" s="9" customFormat="1" ht="12.5"/>
    <row r="1620" s="9" customFormat="1" ht="12.5"/>
    <row r="1621" s="9" customFormat="1" ht="12.5"/>
    <row r="1622" s="9" customFormat="1" ht="12.5"/>
    <row r="1623" s="9" customFormat="1" ht="12.5"/>
    <row r="1624" s="9" customFormat="1" ht="12.5"/>
    <row r="1625" s="9" customFormat="1" ht="12.5"/>
    <row r="1626" s="9" customFormat="1" ht="12.5"/>
    <row r="1627" s="9" customFormat="1" ht="12.5"/>
    <row r="1628" s="9" customFormat="1" ht="12.5"/>
    <row r="1629" s="9" customFormat="1" ht="12.5"/>
    <row r="1630" s="9" customFormat="1" ht="12.5"/>
    <row r="1631" s="9" customFormat="1" ht="12.5"/>
    <row r="1632" s="9" customFormat="1" ht="12.5"/>
    <row r="1633" s="9" customFormat="1" ht="12.5"/>
    <row r="1634" s="9" customFormat="1" ht="12.5"/>
    <row r="1635" s="9" customFormat="1" ht="12.5"/>
    <row r="1636" s="9" customFormat="1" ht="12.5"/>
    <row r="1637" s="9" customFormat="1" ht="12.5"/>
    <row r="1638" s="9" customFormat="1" ht="12.5"/>
    <row r="1639" s="9" customFormat="1" ht="12.5"/>
    <row r="1640" s="9" customFormat="1" ht="12.5"/>
    <row r="1641" s="9" customFormat="1" ht="12.5"/>
    <row r="1642" s="9" customFormat="1" ht="12.5"/>
    <row r="1643" s="9" customFormat="1" ht="12.5"/>
    <row r="1644" s="9" customFormat="1" ht="12.5"/>
    <row r="1645" s="9" customFormat="1" ht="12.5"/>
    <row r="1646" s="9" customFormat="1" ht="12.5"/>
    <row r="1647" s="9" customFormat="1" ht="12.5"/>
    <row r="1648" s="9" customFormat="1" ht="12.5"/>
    <row r="1649" s="9" customFormat="1" ht="12.5"/>
    <row r="1650" s="9" customFormat="1" ht="12.5"/>
    <row r="1651" s="9" customFormat="1" ht="12.5"/>
    <row r="1652" s="9" customFormat="1" ht="12.5"/>
    <row r="1653" s="9" customFormat="1" ht="12.5"/>
    <row r="1654" s="9" customFormat="1" ht="12.5"/>
    <row r="1655" s="9" customFormat="1" ht="12.5"/>
    <row r="1656" s="9" customFormat="1" ht="12.5"/>
    <row r="1657" s="9" customFormat="1" ht="12.5"/>
    <row r="1658" s="9" customFormat="1" ht="12.5"/>
    <row r="1659" s="9" customFormat="1" ht="12.5"/>
    <row r="1660" s="9" customFormat="1" ht="12.5"/>
    <row r="1661" s="9" customFormat="1" ht="12.5"/>
    <row r="1662" s="9" customFormat="1" ht="12.5"/>
    <row r="1663" s="9" customFormat="1" ht="12.5"/>
    <row r="1664" s="9" customFormat="1" ht="12.5"/>
    <row r="1665" s="9" customFormat="1" ht="12.5"/>
    <row r="1666" s="9" customFormat="1" ht="12.5"/>
    <row r="1667" s="9" customFormat="1" ht="12.5"/>
    <row r="1668" s="9" customFormat="1" ht="12.5"/>
    <row r="1669" s="9" customFormat="1" ht="12.5"/>
    <row r="1670" s="9" customFormat="1" ht="12.5"/>
    <row r="1671" s="9" customFormat="1" ht="12.5"/>
    <row r="1672" s="9" customFormat="1" ht="12.5"/>
    <row r="1673" s="9" customFormat="1" ht="12.5"/>
    <row r="1674" s="9" customFormat="1" ht="12.5"/>
    <row r="1675" s="9" customFormat="1" ht="12.5"/>
    <row r="1676" s="9" customFormat="1" ht="12.5"/>
    <row r="1677" s="9" customFormat="1" ht="12.5"/>
    <row r="1678" s="9" customFormat="1" ht="12.5"/>
    <row r="1679" s="9" customFormat="1" ht="12.5"/>
    <row r="1680" s="9" customFormat="1" ht="12.5"/>
    <row r="1681" s="9" customFormat="1" ht="12.5"/>
    <row r="1682" s="9" customFormat="1" ht="12.5"/>
    <row r="1683" s="9" customFormat="1" ht="12.5"/>
    <row r="1684" s="9" customFormat="1" ht="12.5"/>
    <row r="1685" s="9" customFormat="1" ht="12.5"/>
    <row r="1686" s="9" customFormat="1" ht="12.5"/>
    <row r="1687" s="9" customFormat="1" ht="12.5"/>
    <row r="1688" s="9" customFormat="1" ht="12.5"/>
    <row r="1689" s="9" customFormat="1" ht="12.5"/>
    <row r="1690" s="9" customFormat="1" ht="12.5"/>
    <row r="1691" s="9" customFormat="1" ht="12.5"/>
    <row r="1692" s="9" customFormat="1" ht="12.5"/>
    <row r="1693" s="9" customFormat="1" ht="12.5"/>
    <row r="1694" s="9" customFormat="1" ht="12.5"/>
    <row r="1695" s="9" customFormat="1" ht="12.5"/>
    <row r="1696" s="9" customFormat="1" ht="12.5"/>
    <row r="1697" s="9" customFormat="1" ht="12.5"/>
    <row r="1698" s="9" customFormat="1" ht="12.5"/>
    <row r="1699" s="9" customFormat="1" ht="12.5"/>
    <row r="1700" s="9" customFormat="1" ht="12.5"/>
    <row r="1701" s="9" customFormat="1" ht="12.5"/>
    <row r="1702" s="9" customFormat="1" ht="12.5"/>
    <row r="1703" s="9" customFormat="1" ht="12.5"/>
    <row r="1704" s="9" customFormat="1" ht="12.5"/>
    <row r="1705" s="9" customFormat="1" ht="12.5"/>
    <row r="1706" s="9" customFormat="1" ht="12.5"/>
    <row r="1707" s="9" customFormat="1" ht="12.5"/>
    <row r="1708" s="9" customFormat="1" ht="12.5"/>
    <row r="1709" s="9" customFormat="1" ht="12.5"/>
    <row r="1710" s="9" customFormat="1" ht="12.5"/>
    <row r="1711" s="9" customFormat="1" ht="12.5"/>
    <row r="1712" s="9" customFormat="1" ht="12.5"/>
    <row r="1713" s="9" customFormat="1" ht="12.5"/>
    <row r="1714" s="9" customFormat="1" ht="12.5"/>
    <row r="1715" s="9" customFormat="1" ht="12.5"/>
    <row r="1716" s="9" customFormat="1" ht="12.5"/>
    <row r="1717" s="9" customFormat="1" ht="12.5"/>
    <row r="1718" s="9" customFormat="1" ht="12.5"/>
    <row r="1719" s="9" customFormat="1" ht="12.5"/>
    <row r="1720" s="9" customFormat="1" ht="12.5"/>
    <row r="1721" s="9" customFormat="1" ht="12.5"/>
    <row r="1722" s="9" customFormat="1" ht="12.5"/>
    <row r="1723" s="9" customFormat="1" ht="12.5"/>
    <row r="1724" s="9" customFormat="1" ht="12.5"/>
    <row r="1725" s="9" customFormat="1" ht="12.5"/>
    <row r="1726" s="9" customFormat="1" ht="12.5"/>
    <row r="1727" s="9" customFormat="1" ht="12.5"/>
    <row r="1728" s="9" customFormat="1" ht="12.5"/>
    <row r="1729" s="9" customFormat="1" ht="12.5"/>
    <row r="1730" s="9" customFormat="1" ht="12.5"/>
    <row r="1731" s="9" customFormat="1" ht="12.5"/>
    <row r="1732" s="9" customFormat="1" ht="12.5"/>
    <row r="1733" s="9" customFormat="1" ht="12.5"/>
    <row r="1734" s="9" customFormat="1" ht="12.5"/>
    <row r="1735" s="9" customFormat="1" ht="12.5"/>
    <row r="1736" s="9" customFormat="1" ht="12.5"/>
    <row r="1737" s="9" customFormat="1" ht="12.5"/>
    <row r="1738" s="9" customFormat="1" ht="12.5"/>
    <row r="1739" s="9" customFormat="1" ht="12.5"/>
    <row r="1740" s="9" customFormat="1" ht="12.5"/>
    <row r="1741" s="9" customFormat="1" ht="12.5"/>
    <row r="1742" s="9" customFormat="1" ht="12.5"/>
    <row r="1743" s="9" customFormat="1" ht="12.5"/>
    <row r="1744" s="9" customFormat="1" ht="12.5"/>
    <row r="1745" s="9" customFormat="1" ht="12.5"/>
    <row r="1746" s="9" customFormat="1" ht="12.5"/>
    <row r="1747" s="9" customFormat="1" ht="12.5"/>
    <row r="1748" s="9" customFormat="1" ht="12.5"/>
    <row r="1749" s="9" customFormat="1" ht="12.5"/>
    <row r="1750" s="9" customFormat="1" ht="12.5"/>
    <row r="1751" s="9" customFormat="1" ht="12.5"/>
    <row r="1752" s="9" customFormat="1" ht="12.5"/>
    <row r="1753" s="9" customFormat="1" ht="12.5"/>
    <row r="1754" s="9" customFormat="1" ht="12.5"/>
    <row r="1755" s="9" customFormat="1" ht="12.5"/>
    <row r="1756" s="9" customFormat="1" ht="12.5"/>
    <row r="1757" s="9" customFormat="1" ht="12.5"/>
    <row r="1758" s="9" customFormat="1" ht="12.5"/>
    <row r="1759" s="9" customFormat="1" ht="12.5"/>
    <row r="1760" s="9" customFormat="1" ht="12.5"/>
    <row r="1761" s="9" customFormat="1" ht="12.5"/>
    <row r="1762" s="9" customFormat="1" ht="12.5"/>
    <row r="1763" s="9" customFormat="1" ht="12.5"/>
    <row r="1764" s="9" customFormat="1" ht="12.5"/>
    <row r="1765" s="9" customFormat="1" ht="12.5"/>
    <row r="1766" s="9" customFormat="1" ht="12.5"/>
    <row r="1767" s="9" customFormat="1" ht="12.5"/>
    <row r="1768" s="9" customFormat="1" ht="12.5"/>
    <row r="1769" s="9" customFormat="1" ht="12.5"/>
    <row r="1770" s="9" customFormat="1" ht="12.5"/>
    <row r="1771" s="9" customFormat="1" ht="12.5"/>
    <row r="1772" s="9" customFormat="1" ht="12.5"/>
    <row r="1773" s="9" customFormat="1" ht="12.5"/>
    <row r="1774" s="9" customFormat="1" ht="12.5"/>
    <row r="1775" s="9" customFormat="1" ht="12.5"/>
    <row r="1776" s="9" customFormat="1" ht="12.5"/>
    <row r="1777" s="9" customFormat="1" ht="12.5"/>
    <row r="1778" s="9" customFormat="1" ht="12.5"/>
    <row r="1779" s="9" customFormat="1" ht="12.5"/>
    <row r="1780" s="9" customFormat="1" ht="12.5"/>
    <row r="1781" s="9" customFormat="1" ht="12.5"/>
    <row r="1782" s="9" customFormat="1" ht="12.5"/>
    <row r="1783" s="9" customFormat="1" ht="12.5"/>
    <row r="1784" s="9" customFormat="1" ht="12.5"/>
    <row r="1785" s="9" customFormat="1" ht="12.5"/>
    <row r="1786" s="9" customFormat="1" ht="12.5"/>
    <row r="1787" s="9" customFormat="1" ht="12.5"/>
    <row r="1788" s="9" customFormat="1" ht="12.5"/>
    <row r="1789" s="9" customFormat="1" ht="12.5"/>
    <row r="1790" s="9" customFormat="1" ht="12.5"/>
    <row r="1791" s="9" customFormat="1" ht="12.5"/>
    <row r="1792" s="9" customFormat="1" ht="12.5"/>
    <row r="1793" s="9" customFormat="1" ht="12.5"/>
    <row r="1794" s="9" customFormat="1" ht="12.5"/>
    <row r="1795" s="9" customFormat="1" ht="12.5"/>
    <row r="1796" s="9" customFormat="1" ht="12.5"/>
    <row r="1797" s="9" customFormat="1" ht="12.5"/>
    <row r="1798" s="9" customFormat="1" ht="12.5"/>
    <row r="1799" s="9" customFormat="1" ht="12.5"/>
    <row r="1800" s="9" customFormat="1" ht="12.5"/>
    <row r="1801" s="9" customFormat="1" ht="12.5"/>
    <row r="1802" s="9" customFormat="1" ht="12.5"/>
    <row r="1803" s="9" customFormat="1" ht="12.5"/>
    <row r="1804" s="9" customFormat="1" ht="12.5"/>
    <row r="1805" s="9" customFormat="1" ht="12.5"/>
    <row r="1806" s="9" customFormat="1" ht="12.5"/>
    <row r="1807" s="9" customFormat="1" ht="12.5"/>
    <row r="1808" s="9" customFormat="1" ht="12.5"/>
    <row r="1809" s="9" customFormat="1" ht="12.5"/>
    <row r="1810" s="9" customFormat="1" ht="12.5"/>
    <row r="1811" s="9" customFormat="1" ht="12.5"/>
    <row r="1812" s="9" customFormat="1" ht="12.5"/>
    <row r="1813" s="9" customFormat="1" ht="12.5"/>
    <row r="1814" s="9" customFormat="1" ht="12.5"/>
    <row r="1815" s="9" customFormat="1" ht="12.5"/>
    <row r="1816" s="9" customFormat="1" ht="12.5"/>
    <row r="1817" s="9" customFormat="1" ht="12.5"/>
    <row r="1818" s="9" customFormat="1" ht="12.5"/>
    <row r="1819" s="9" customFormat="1" ht="12.5"/>
    <row r="1820" s="9" customFormat="1" ht="12.5"/>
    <row r="1821" s="9" customFormat="1" ht="12.5"/>
    <row r="1822" s="9" customFormat="1" ht="12.5"/>
    <row r="1823" s="9" customFormat="1" ht="12.5"/>
    <row r="1824" s="9" customFormat="1" ht="12.5"/>
    <row r="1825" s="9" customFormat="1" ht="12.5"/>
    <row r="1826" s="9" customFormat="1" ht="12.5"/>
    <row r="1827" s="9" customFormat="1" ht="12.5"/>
    <row r="1828" s="9" customFormat="1" ht="12.5"/>
    <row r="1829" s="9" customFormat="1" ht="12.5"/>
    <row r="1830" s="9" customFormat="1" ht="12.5"/>
    <row r="1831" s="9" customFormat="1" ht="12.5"/>
    <row r="1832" s="9" customFormat="1" ht="12.5"/>
    <row r="1833" s="9" customFormat="1" ht="12.5"/>
    <row r="1834" s="9" customFormat="1" ht="12.5"/>
    <row r="1835" s="9" customFormat="1" ht="12.5"/>
    <row r="1836" s="9" customFormat="1" ht="12.5"/>
    <row r="1837" s="9" customFormat="1" ht="12.5"/>
    <row r="1838" s="9" customFormat="1" ht="12.5"/>
    <row r="1839" s="9" customFormat="1" ht="12.5"/>
    <row r="1840" s="9" customFormat="1" ht="12.5"/>
    <row r="1841" s="9" customFormat="1" ht="12.5"/>
    <row r="1842" s="9" customFormat="1" ht="12.5"/>
    <row r="1843" s="9" customFormat="1" ht="12.5"/>
    <row r="1844" s="9" customFormat="1" ht="12.5"/>
    <row r="1845" s="9" customFormat="1" ht="12.5"/>
    <row r="1846" s="9" customFormat="1" ht="12.5"/>
    <row r="1847" s="9" customFormat="1" ht="12.5"/>
    <row r="1848" s="9" customFormat="1" ht="12.5"/>
    <row r="1849" s="9" customFormat="1" ht="12.5"/>
    <row r="1850" s="9" customFormat="1" ht="12.5"/>
    <row r="1851" s="9" customFormat="1" ht="12.5"/>
    <row r="1852" s="9" customFormat="1" ht="12.5"/>
    <row r="1853" s="9" customFormat="1" ht="12.5"/>
    <row r="1854" s="9" customFormat="1" ht="12.5"/>
    <row r="1855" s="9" customFormat="1" ht="12.5"/>
    <row r="1856" s="9" customFormat="1" ht="12.5"/>
    <row r="1857" s="9" customFormat="1" ht="12.5"/>
    <row r="1858" s="9" customFormat="1" ht="12.5"/>
    <row r="1859" s="9" customFormat="1" ht="12.5"/>
    <row r="1860" s="9" customFormat="1" ht="12.5"/>
    <row r="1861" s="9" customFormat="1" ht="12.5"/>
    <row r="1862" s="9" customFormat="1" ht="12.5"/>
    <row r="1863" s="9" customFormat="1" ht="12.5"/>
    <row r="1864" s="9" customFormat="1" ht="12.5"/>
    <row r="1865" s="9" customFormat="1" ht="12.5"/>
    <row r="1866" s="9" customFormat="1" ht="12.5"/>
    <row r="1867" s="9" customFormat="1" ht="12.5"/>
    <row r="1868" s="9" customFormat="1" ht="12.5"/>
    <row r="1869" s="9" customFormat="1" ht="12.5"/>
    <row r="1870" s="9" customFormat="1" ht="12.5"/>
    <row r="1871" s="9" customFormat="1" ht="12.5"/>
    <row r="1872" s="9" customFormat="1" ht="12.5"/>
    <row r="1873" s="9" customFormat="1" ht="12.5"/>
    <row r="1874" s="9" customFormat="1" ht="12.5"/>
    <row r="1875" s="9" customFormat="1" ht="12.5"/>
    <row r="1876" s="9" customFormat="1" ht="12.5"/>
    <row r="1877" s="9" customFormat="1" ht="12.5"/>
    <row r="1878" s="9" customFormat="1" ht="12.5"/>
    <row r="1879" s="9" customFormat="1" ht="12.5"/>
    <row r="1880" s="9" customFormat="1" ht="12.5"/>
    <row r="1881" s="9" customFormat="1" ht="12.5"/>
    <row r="1882" s="9" customFormat="1" ht="12.5"/>
    <row r="1883" s="9" customFormat="1" ht="12.5"/>
    <row r="1884" s="9" customFormat="1" ht="12.5"/>
    <row r="1885" s="9" customFormat="1" ht="12.5"/>
    <row r="1886" s="9" customFormat="1" ht="12.5"/>
    <row r="1887" s="9" customFormat="1" ht="12.5"/>
    <row r="1888" s="9" customFormat="1" ht="12.5"/>
    <row r="1889" s="9" customFormat="1" ht="12.5"/>
    <row r="1890" s="9" customFormat="1" ht="12.5"/>
    <row r="1891" s="9" customFormat="1" ht="12.5"/>
    <row r="1892" s="9" customFormat="1" ht="12.5"/>
    <row r="1893" s="9" customFormat="1" ht="12.5"/>
    <row r="1894" s="9" customFormat="1" ht="12.5"/>
    <row r="1895" s="9" customFormat="1" ht="12.5"/>
    <row r="1896" s="9" customFormat="1" ht="12.5"/>
    <row r="1897" s="9" customFormat="1" ht="12.5"/>
    <row r="1898" s="9" customFormat="1" ht="12.5"/>
    <row r="1899" s="9" customFormat="1" ht="12.5"/>
    <row r="1900" s="9" customFormat="1" ht="12.5"/>
  </sheetData>
  <printOptions gridLines="1"/>
  <pageMargins left="0" right="0" top="0.59055118110236227" bottom="0.53" header="0.35433070866141736" footer="0.28000000000000003"/>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MHC Document" ma:contentTypeID="0x0101006DB749B13679714CA3DB93E49C2A9FEB008E45919F2B75044690AC1D1F428E4FCF" ma:contentTypeVersion="20" ma:contentTypeDescription="Create a new document." ma:contentTypeScope="" ma:versionID="a9e9ad65686a7febbfac2e79bba5ac16">
  <xsd:schema xmlns:xsd="http://www.w3.org/2001/XMLSchema" xmlns:xs="http://www.w3.org/2001/XMLSchema" xmlns:p="http://schemas.microsoft.com/office/2006/metadata/properties" xmlns:ns1="http://schemas.microsoft.com/sharepoint/v3" xmlns:ns2="e1beba29-65ce-4c04-ad02-e0ccb53c4179" xmlns:ns3="015ebc71-6d2c-497d-841f-b4b71d37f01e" targetNamespace="http://schemas.microsoft.com/office/2006/metadata/properties" ma:root="true" ma:fieldsID="4ff4ec25a2f596f0ee19965660203e1e" ns1:_="" ns2:_="" ns3:_="">
    <xsd:import namespace="http://schemas.microsoft.com/sharepoint/v3"/>
    <xsd:import namespace="e1beba29-65ce-4c04-ad02-e0ccb53c4179"/>
    <xsd:import namespace="015ebc71-6d2c-497d-841f-b4b71d37f01e"/>
    <xsd:element name="properties">
      <xsd:complexType>
        <xsd:sequence>
          <xsd:element name="documentManagement">
            <xsd:complexType>
              <xsd:all>
                <xsd:element ref="ns2:CMHCApprovedBy" minOccurs="0"/>
                <xsd:element ref="ns2:CMHCDateApproved" minOccurs="0"/>
                <xsd:element ref="ns2:CMHCDateRetire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1:_ip_UnifiedCompliancePolicyProperties" minOccurs="0"/>
                <xsd:element ref="ns1:_ip_UnifiedCompliancePolicyUIAction"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eba29-65ce-4c04-ad02-e0ccb53c4179" elementFormDefault="qualified">
    <xsd:import namespace="http://schemas.microsoft.com/office/2006/documentManagement/types"/>
    <xsd:import namespace="http://schemas.microsoft.com/office/infopath/2007/PartnerControls"/>
    <xsd:element name="CMHCApprovedBy" ma:index="8" nillable="true" ma:displayName="Approved By" ma:internalName="CMHCApprov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MHCDateApproved" ma:index="9" nillable="true" ma:displayName="Date Approved" ma:format="DateOnly" ma:internalName="CMHCDateApproved">
      <xsd:simpleType>
        <xsd:restriction base="dms:DateTime"/>
      </xsd:simpleType>
    </xsd:element>
    <xsd:element name="CMHCDateRetired" ma:index="10" nillable="true" ma:displayName="Date Retired" ma:format="DateOnly" ma:internalName="CMHCDateRetired">
      <xsd:simpleType>
        <xsd:restriction base="dms:DateTime"/>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5ebc71-6d2c-497d-841f-b4b71d37f01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MHCApprovedBy xmlns="e1beba29-65ce-4c04-ad02-e0ccb53c4179">
      <UserInfo>
        <DisplayName/>
        <AccountId xsi:nil="true"/>
        <AccountType/>
      </UserInfo>
    </CMHCApprovedBy>
    <CMHCDateApproved xmlns="e1beba29-65ce-4c04-ad02-e0ccb53c4179" xsi:nil="true"/>
    <CMHCDateRetired xmlns="e1beba29-65ce-4c04-ad02-e0ccb53c41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86836-3F72-4130-909B-B0D9449BF4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beba29-65ce-4c04-ad02-e0ccb53c4179"/>
    <ds:schemaRef ds:uri="015ebc71-6d2c-497d-841f-b4b71d37f0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065980-D190-4847-8678-8E39C9A450A4}">
  <ds:schemaRefs>
    <ds:schemaRef ds:uri="http://schemas.microsoft.com/office/2006/metadata/properties"/>
    <ds:schemaRef ds:uri="e1beba29-65ce-4c04-ad02-e0ccb53c4179"/>
    <ds:schemaRef ds:uri="http://purl.org/dc/elements/1.1/"/>
    <ds:schemaRef ds:uri="http://schemas.microsoft.com/office/infopath/2007/PartnerControls"/>
    <ds:schemaRef ds:uri="http://schemas.microsoft.com/sharepoint/v3"/>
    <ds:schemaRef ds:uri="http://purl.org/dc/terms/"/>
    <ds:schemaRef ds:uri="http://www.w3.org/XML/1998/namespace"/>
    <ds:schemaRef ds:uri="http://schemas.microsoft.com/office/2006/documentManagement/types"/>
    <ds:schemaRef ds:uri="http://schemas.openxmlformats.org/package/2006/metadata/core-properties"/>
    <ds:schemaRef ds:uri="015ebc71-6d2c-497d-841f-b4b71d37f01e"/>
    <ds:schemaRef ds:uri="http://purl.org/dc/dcmitype/"/>
  </ds:schemaRefs>
</ds:datastoreItem>
</file>

<file path=customXml/itemProps3.xml><?xml version="1.0" encoding="utf-8"?>
<ds:datastoreItem xmlns:ds="http://schemas.openxmlformats.org/officeDocument/2006/customXml" ds:itemID="{853C9B71-4C4C-45F0-B405-0E264E13CD64}">
  <ds:schemaRefs>
    <ds:schemaRef ds:uri="http://schemas.microsoft.com/sharepoint/v3/contenttype/forms"/>
  </ds:schemaRefs>
</ds:datastoreItem>
</file>

<file path=docMetadata/LabelInfo.xml><?xml version="1.0" encoding="utf-8"?>
<clbl:labelList xmlns:clbl="http://schemas.microsoft.com/office/2020/mipLabelMetadata">
  <clbl:label id="{38b7fc89-dbe8-4ed1-a78b-39dfb6a217a8}" enabled="0" method="" siteId="{38b7fc89-dbe8-4ed1-a78b-39dfb6a217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 Summary</vt:lpstr>
      <vt:lpstr>Page couverture</vt:lpstr>
      <vt:lpstr>Budget de l'ensemble</vt:lpstr>
      <vt:lpstr>Portion résidentielle</vt:lpstr>
      <vt:lpstr>Portion non résidentielle</vt:lpstr>
      <vt:lpstr>Admissibilité et rés. sociaux</vt:lpstr>
      <vt:lpstr>Mortg Calc</vt:lpstr>
      <vt:lpstr>'Admissibilité et rés. sociaux'!Print_Area</vt:lpstr>
      <vt:lpstr>'Budget de l''ensemble'!Print_Area</vt:lpstr>
      <vt:lpstr>'Mortg Calc'!Print_Area</vt:lpstr>
      <vt:lpstr>'Portion non résidentielle'!Print_Area</vt:lpstr>
      <vt:lpstr>'Portion résidentielle'!Print_Area</vt:lpstr>
    </vt:vector>
  </TitlesOfParts>
  <Company>CMHC-SCHL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jialeggi</dc:creator>
  <cp:lastModifiedBy>Chuck Casault</cp:lastModifiedBy>
  <cp:lastPrinted>2024-01-31T20:02:30Z</cp:lastPrinted>
  <dcterms:created xsi:type="dcterms:W3CDTF">2016-12-06T20:15:04Z</dcterms:created>
  <dcterms:modified xsi:type="dcterms:W3CDTF">2024-03-25T18:47:03Z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0x0101006DB749B13679714CA3DB93E49C2A9FEB008E45919F2B75044690AC1D1F428E4FCF</vt:lpwstr>
  </property>
</Properties>
</file>