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showInkAnnotation="0" codeName="ThisWorkbook"/>
  <mc:AlternateContent xmlns:mc="http://schemas.openxmlformats.org/markup-compatibility/2006">
    <mc:Choice Requires="x15">
      <x15ac:absPath xmlns:x15ac="http://schemas.microsoft.com/office/spreadsheetml/2010/11/ac" url="https://cmhcschl-my.sharepoint.com/personal/ccasault_cmhc-schl_gc_ca/Documents/My P Drive/Documents/CMHC/Program rename AHF ACLP NHCF RCFI/new files from studio/affordable-housing-fund/"/>
    </mc:Choice>
  </mc:AlternateContent>
  <xr:revisionPtr revIDLastSave="0" documentId="8_{3803A275-215C-48D5-B65A-28ED106B737A}" xr6:coauthVersionLast="47" xr6:coauthVersionMax="47" xr10:uidLastSave="{00000000-0000-0000-0000-000000000000}"/>
  <bookViews>
    <workbookView xWindow="-9780" yWindow="-21710" windowWidth="38620" windowHeight="21220" tabRatio="835" xr2:uid="{00000000-000D-0000-FFFF-FFFF00000000}"/>
  </bookViews>
  <sheets>
    <sheet name="Disclaimer" sheetId="7" r:id="rId1"/>
    <sheet name="Scoring Grid" sheetId="12" r:id="rId2"/>
    <sheet name="Rents &amp; Affordability" sheetId="6" r:id="rId3"/>
    <sheet name="Project Budget " sheetId="2" r:id="rId4"/>
    <sheet name="Proforma - Residential" sheetId="3" r:id="rId5"/>
    <sheet name="Proforma - Non-Residential" sheetId="4" r:id="rId6"/>
    <sheet name="Drawdown Schedule " sheetId="10" r:id="rId7"/>
  </sheets>
  <externalReferences>
    <externalReference r:id="rId8"/>
  </externalReferences>
  <definedNames>
    <definedName name="DS_Fills" localSheetId="1">'[1]Drawdown Schedule '!$B$43:$J$46,'[1]Drawdown Schedule '!$C$13:$D$18,'[1]Drawdown Schedule '!$C$20:$D$25,'[1]Drawdown Schedule '!$C$27:$D$32,'[1]Drawdown Schedule '!$C$34:$D$39,'[1]Drawdown Schedule '!$H$13:$I$18,'[1]Drawdown Schedule '!$H$20:$I$25,'[1]Drawdown Schedule '!$H$27:$I$32,'[1]Drawdown Schedule '!$H$34:$I$39</definedName>
    <definedName name="DS_Fills">'Drawdown Schedule '!$C$41:$K$44,'Drawdown Schedule '!$D$11:$E$16,'Drawdown Schedule '!$D$18:$E$23,'Drawdown Schedule '!$D$25:$E$30,'Drawdown Schedule '!$D$32:$E$37,'Drawdown Schedule '!$I$11:$J$16,'Drawdown Schedule '!$I$18:$J$23,'Drawdown Schedule '!$I$25:$J$30,'Drawdown Schedule '!$I$32:$J$37</definedName>
    <definedName name="NPR_Loan" localSheetId="1">'[1]Proforma - Non-Residential'!$B$22:$C$23,'[1]Proforma - Non-Residential'!$B$70:$K$83</definedName>
    <definedName name="NPR_Loan">'Proforma - Non-Residential'!$B$21:$C$22,'Proforma - Non-Residential'!$B$62:$K$82</definedName>
    <definedName name="NRP_Comments">'Proforma - Non-Residential'!$B$84</definedName>
    <definedName name="NRPFills" localSheetId="1">'[1]Proforma - Non-Residential'!$D$10:$D$19,'[1]Proforma - Non-Residential'!$D$27:$F$36,'[1]Proforma - Non-Residential'!$G$37,'[1]Proforma - Non-Residential'!$G$39,'[1]Proforma - Non-Residential'!$H$27:$H$40,'[1]Proforma - Non-Residential'!$G$45:$G$49,'[1]Proforma - Non-Residential'!$G$51:$G$56,'[1]Proforma - Non-Residential'!$F$57:$F$58,'[1]Proforma - Non-Residential'!$H$45:$H$58,'[1]Proforma - Non-Residential'!$B$87:$K$91</definedName>
    <definedName name="NRPFills">'Proforma - Non-Residential'!$D$9:$D$18,'Proforma - Non-Residential'!$D$26:$F$35,'Proforma - Non-Residential'!$G$36,'Proforma - Non-Residential'!$G$38,'Proforma - Non-Residential'!$H$26:$H$39,'Proforma - Non-Residential'!$G$44:$G$48,'Proforma - Non-Residential'!$G$50:$G$55,'Proforma - Non-Residential'!$F$56:$F$57,'Proforma - Non-Residential'!$H$44:$H$57,'Proforma - Non-Residential'!$B$84:$K$88</definedName>
    <definedName name="PB_Comments" localSheetId="1">'[1]Project Budget '!$B$40:$K$44,'[1]Project Budget '!$H$23:$H$32,'[1]Project Budget '!$L$10:$L$19</definedName>
    <definedName name="PB_Comments">'Project Budget '!$H$23:$J$32,'Project Budget '!$L$10:$L$19,'Project Budget '!$B$41:$K$45</definedName>
    <definedName name="PBFills" localSheetId="1">'[1]Project Budget '!$H$5,'[1]Project Budget '!$I$5,'[1]Project Budget '!$E$10:$E$19,'[1]Project Budget '!$E$23:$E$32</definedName>
    <definedName name="PBFills">'Project Budget '!$H$5:$I$5,'Project Budget '!$E$10:$E$19,'Project Budget '!$L$10:$L$19,'Project Budget '!$E$23:$E$32,'Project Budget '!$H$23:$J$32,'Project Budget '!$B$41:$K$45</definedName>
    <definedName name="PG_Fills" localSheetId="1">'Scoring Grid'!$I$11,'Scoring Grid'!$I$18,'Scoring Grid'!$I$26,'Scoring Grid'!$I$33,'Scoring Grid'!$I$40,'Scoring Grid'!$I$49,'Scoring Grid'!$I$53,'Scoring Grid'!$I$57,'Scoring Grid'!$I$61,'Scoring Grid'!$I$65,'Scoring Grid'!$I$69,'Scoring Grid'!$I$73,'Scoring Grid'!$I$77,'Scoring Grid'!$I$81,'Scoring Grid'!$I$85,'Scoring Grid'!$I$90,'Scoring Grid'!$I$97,'Scoring Grid'!$E$109,'Scoring Grid'!$E$112</definedName>
    <definedName name="PG_Fills">#REF!,#REF!,#REF!,#REF!,#REF!,#REF!,#REF!,#REF!,#REF!,#REF!,#REF!,#REF!,#REF!,#REF!,#REF!,#REF!,#REF!,#REF!,#REF!</definedName>
    <definedName name="PR_Loan">'Proforma - Residential'!#REF!</definedName>
    <definedName name="R_Units" localSheetId="1">'[1]Rents &amp; Affordability'!$D$37</definedName>
    <definedName name="R_Units">'Rents &amp; Affordability'!$D$53</definedName>
    <definedName name="RA_Fills" localSheetId="1">'[1]Rents &amp; Affordability'!$B$29:$B$31,'[1]Rents &amp; Affordability'!$B$33:$B$35,'[1]Rents &amp; Affordability'!$C$14:$D$27,'[1]Rents &amp; Affordability'!$C$29:$D$31,'[1]Rents &amp; Affordability'!$C$33:$E$35,'[1]Rents &amp; Affordability'!$E$14,'[1]Rents &amp; Affordability'!$E$16,'[1]Rents &amp; Affordability'!$E$18,'[1]Rents &amp; Affordability'!$E$20,'[1]Rents &amp; Affordability'!$E$22,'[1]Rents &amp; Affordability'!$F$15,'[1]Rents &amp; Affordability'!$F$17,'[1]Rents &amp; Affordability'!$F$19,'[1]Rents &amp; Affordability'!$F$21,'[1]Rents &amp; Affordability'!$G$15,'[1]Rents &amp; Affordability'!$G$17,'[1]Rents &amp; Affordability'!$G$19,'[1]Rents &amp; Affordability'!$G$21,'[1]Rents &amp; Affordability'!$G$23,'[1]Rents &amp; Affordability'!$F$23:$F$27,'[1]Rents &amp; Affordability'!$F$29:$G$31,'[1]Rents &amp; Affordability'!$C$7:$C$9,'[1]Rents &amp; Affordability'!$K$14:$K$27,'[1]Rents &amp; Affordability'!$K$29:$K$31,'[1]Rents &amp; Affordability'!$K$33:$K$35</definedName>
    <definedName name="RA_Fills">'Rents &amp; Affordability'!$B$28:$B$42,'Rents &amp; Affordability'!$B$44:$B$51,'Rents &amp; Affordability'!$C$13:$D$26,'Rents &amp; Affordability'!$C$28:$D$42,'Rents &amp; Affordability'!$C$44:$E$51,'Rents &amp; Affordability'!$E$13,'Rents &amp; Affordability'!$E$15,'Rents &amp; Affordability'!$E$17,'Rents &amp; Affordability'!$E$19,'Rents &amp; Affordability'!$E$21,'Rents &amp; Affordability'!$F$14,'Rents &amp; Affordability'!$F$16,'Rents &amp; Affordability'!$F$18,'Rents &amp; Affordability'!$F$20,'Rents &amp; Affordability'!$G$14,'Rents &amp; Affordability'!$G$16,'Rents &amp; Affordability'!$G$18,'Rents &amp; Affordability'!$G$20,'Rents &amp; Affordability'!$G$22,'Rents &amp; Affordability'!$F$22:$F$26,'Rents &amp; Affordability'!$F$28:$G$42,'Rents &amp; Affordability'!$C$6:$C$8,'Rents &amp; Affordability'!$K$13:$K$26,'Rents &amp; Affordability'!$K$28:$K$42,'Rents &amp; Affordability'!$K$44:$K$51</definedName>
    <definedName name="RNP_Comments">'Proforma - Residential'!$B$115</definedName>
    <definedName name="RNPFills" localSheetId="1">'[1]Proforma - Residential'!$B$109:$K$113,'[1]Proforma - Residential'!$G$90,'[1]Proforma - Residential'!$G$87,'[1]Proforma - Residential'!$G$86,'[1]Proforma - Residential'!$G$79,'[1]Proforma - Residential'!$E$78,'[1]Proforma - Residential'!$F$72,'[1]Proforma - Residential'!$F$71,'[1]Proforma - Residential'!$F$64:$F$69,'[1]Proforma - Residential'!$F$60:$F$62,'[1]Proforma - Residential'!$G$58:$G$59,'[1]Proforma - Residential'!$I$58:$I$72,'[1]Proforma - Residential'!$I$44:$I$54,'[1]Proforma - Residential'!$G$44:$G$48,'[1]Proforma - Residential'!$G$36,'[1]Proforma - Residential'!$I$34:$I$40,'[1]Proforma - Residential'!$C$34:$D$35,'[1]Proforma - Residential'!$G$28,'[1]Proforma - Residential'!$I$27:$I$30,'[1]Proforma - Residential'!$F$10:$F$19</definedName>
    <definedName name="RNPFills">'Proforma - Residential'!$B$115:$K$119,'Proforma - Residential'!#REF!,'Proforma - Residential'!#REF!,'Proforma - Residential'!#REF!,'Proforma - Residential'!$G$84,'Proforma - Residential'!$F$83,'Proforma - Residential'!$F$68,'Proforma - Residential'!$F$67,'Proforma - Residential'!$F$60:$F$65,'Proforma - Residential'!$F$56:$F$58,'Proforma - Residential'!$G$54:$G$55,'Proforma - Residential'!$I$54:$I$68,'Proforma - Residential'!$I$43:$I$50,'Proforma - Residential'!$G$43:$G$47,'Proforma - Residential'!$G$35,'Proforma - Residential'!$I$33:$I$39,'Proforma - Residential'!$C$33:$D$34,'Proforma - Residential'!$G$27,'Proforma - Residential'!$I$26:$I$29,'Proforma - Residential'!$F$9:$F$18</definedName>
    <definedName name="S_Area" localSheetId="1">'[1]Rents &amp; Affordability'!$C$26</definedName>
    <definedName name="S_Area">'Rents &amp; Affordability'!$C$25</definedName>
    <definedName name="S_Area1">'Rents &amp; Affordability'!$C$25</definedName>
    <definedName name="S_Area2" localSheetId="1">'[1]Rents &amp; Affordability'!$C$27</definedName>
    <definedName name="S_Area2">'Rents &amp; Affordability'!$C$26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2" l="1"/>
  <c r="G83" i="3" l="1"/>
  <c r="T26" i="6" l="1"/>
  <c r="S26" i="6"/>
  <c r="R26" i="6"/>
  <c r="Q26" i="6"/>
  <c r="P26" i="6"/>
  <c r="T25" i="6"/>
  <c r="S25" i="6"/>
  <c r="R25" i="6"/>
  <c r="Q25" i="6"/>
  <c r="P25" i="6"/>
  <c r="T24" i="6"/>
  <c r="S24" i="6"/>
  <c r="R24" i="6"/>
  <c r="Q24" i="6"/>
  <c r="P24" i="6"/>
  <c r="T23" i="6"/>
  <c r="S23" i="6"/>
  <c r="R23" i="6"/>
  <c r="Q23" i="6"/>
  <c r="P23" i="6"/>
  <c r="T22" i="6"/>
  <c r="S22" i="6"/>
  <c r="R22" i="6"/>
  <c r="Q22" i="6"/>
  <c r="P22" i="6"/>
  <c r="H26" i="6"/>
  <c r="H24" i="6"/>
  <c r="H22" i="6"/>
  <c r="G25" i="6"/>
  <c r="G23" i="6"/>
  <c r="G48" i="3"/>
  <c r="K12" i="10" l="1"/>
  <c r="G66" i="4" l="1"/>
  <c r="G65" i="4" l="1"/>
  <c r="I80" i="3"/>
  <c r="C51" i="2" l="1"/>
  <c r="E51" i="2" s="1"/>
  <c r="C50" i="2"/>
  <c r="D53" i="6"/>
  <c r="C52" i="6"/>
  <c r="I45" i="6"/>
  <c r="J45" i="6" s="1"/>
  <c r="I46" i="6"/>
  <c r="J46" i="6" s="1"/>
  <c r="I47" i="6"/>
  <c r="J47" i="6" s="1"/>
  <c r="I48" i="6"/>
  <c r="J48" i="6" s="1"/>
  <c r="I49" i="6"/>
  <c r="J49" i="6" s="1"/>
  <c r="H30" i="6"/>
  <c r="I30" i="6"/>
  <c r="J30" i="6" s="1"/>
  <c r="H31" i="6"/>
  <c r="P31" i="6" s="1"/>
  <c r="I31" i="6"/>
  <c r="J31" i="6" s="1"/>
  <c r="H32" i="6"/>
  <c r="I32" i="6"/>
  <c r="J32" i="6" s="1"/>
  <c r="H33" i="6"/>
  <c r="S33" i="6" s="1"/>
  <c r="I33" i="6"/>
  <c r="J33" i="6" s="1"/>
  <c r="H34" i="6"/>
  <c r="Q34" i="6" s="1"/>
  <c r="I34" i="6"/>
  <c r="J34" i="6"/>
  <c r="H35" i="6"/>
  <c r="R35" i="6" s="1"/>
  <c r="I35" i="6"/>
  <c r="J35" i="6" s="1"/>
  <c r="H36" i="6"/>
  <c r="P36" i="6" s="1"/>
  <c r="I36" i="6"/>
  <c r="J36" i="6" s="1"/>
  <c r="H37" i="6"/>
  <c r="I37" i="6"/>
  <c r="J37" i="6" s="1"/>
  <c r="H38" i="6"/>
  <c r="P38" i="6" s="1"/>
  <c r="I38" i="6"/>
  <c r="J38" i="6" s="1"/>
  <c r="H39" i="6"/>
  <c r="I39" i="6"/>
  <c r="J39" i="6" s="1"/>
  <c r="H40" i="6"/>
  <c r="T40" i="6" s="1"/>
  <c r="I40" i="6"/>
  <c r="J40" i="6" s="1"/>
  <c r="H41" i="6"/>
  <c r="I41" i="6"/>
  <c r="J41" i="6" s="1"/>
  <c r="I121" i="12"/>
  <c r="S38" i="6" l="1"/>
  <c r="T32" i="6"/>
  <c r="P32" i="6"/>
  <c r="Q35" i="6"/>
  <c r="P35" i="6"/>
  <c r="T33" i="6"/>
  <c r="Q41" i="6"/>
  <c r="P41" i="6"/>
  <c r="R34" i="6"/>
  <c r="P34" i="6"/>
  <c r="Q30" i="6"/>
  <c r="P30" i="6"/>
  <c r="R30" i="6"/>
  <c r="S37" i="6"/>
  <c r="P37" i="6"/>
  <c r="Q40" i="6"/>
  <c r="P40" i="6"/>
  <c r="Q33" i="6"/>
  <c r="P33" i="6"/>
  <c r="R37" i="6"/>
  <c r="T35" i="6"/>
  <c r="Q39" i="6"/>
  <c r="P39" i="6"/>
  <c r="Q32" i="6"/>
  <c r="S32" i="6"/>
  <c r="C4" i="10"/>
  <c r="S40" i="6"/>
  <c r="T38" i="6"/>
  <c r="Q37" i="6"/>
  <c r="S35" i="6"/>
  <c r="R32" i="6"/>
  <c r="R38" i="6"/>
  <c r="T41" i="6"/>
  <c r="T39" i="6"/>
  <c r="Q38" i="6"/>
  <c r="S36" i="6"/>
  <c r="R33" i="6"/>
  <c r="T30" i="6"/>
  <c r="R40" i="6"/>
  <c r="T36" i="6"/>
  <c r="S41" i="6"/>
  <c r="S39" i="6"/>
  <c r="R36" i="6"/>
  <c r="T34" i="6"/>
  <c r="S30" i="6"/>
  <c r="R41" i="6"/>
  <c r="R39" i="6"/>
  <c r="T37" i="6"/>
  <c r="Q36" i="6"/>
  <c r="S34" i="6"/>
  <c r="T31" i="6"/>
  <c r="Q31" i="6"/>
  <c r="S31" i="6"/>
  <c r="R31" i="6"/>
  <c r="F103" i="12" l="1"/>
  <c r="F102" i="12"/>
  <c r="J97" i="12"/>
  <c r="K97" i="12" s="1"/>
  <c r="J90" i="12"/>
  <c r="K90" i="12" s="1"/>
  <c r="J85" i="12"/>
  <c r="K85" i="12" s="1"/>
  <c r="J81" i="12"/>
  <c r="K81" i="12" s="1"/>
  <c r="J77" i="12"/>
  <c r="K77" i="12" s="1"/>
  <c r="J73" i="12"/>
  <c r="K73" i="12" s="1"/>
  <c r="J69" i="12"/>
  <c r="K69" i="12" s="1"/>
  <c r="J65" i="12"/>
  <c r="K65" i="12" s="1"/>
  <c r="J61" i="12"/>
  <c r="K61" i="12" s="1"/>
  <c r="J57" i="12"/>
  <c r="K57" i="12" s="1"/>
  <c r="J53" i="12"/>
  <c r="K53" i="12" s="1"/>
  <c r="J49" i="12"/>
  <c r="K49" i="12" s="1"/>
  <c r="G48" i="12"/>
  <c r="J40" i="12"/>
  <c r="K40" i="12" s="1"/>
  <c r="K39" i="12" s="1"/>
  <c r="L39" i="12" s="1"/>
  <c r="G39" i="12"/>
  <c r="J33" i="12"/>
  <c r="K33" i="12" s="1"/>
  <c r="K32" i="12" s="1"/>
  <c r="L32" i="12" s="1"/>
  <c r="G32" i="12"/>
  <c r="J26" i="12"/>
  <c r="K26" i="12" s="1"/>
  <c r="K25" i="12" s="1"/>
  <c r="G25" i="12"/>
  <c r="J18" i="12"/>
  <c r="K18" i="12" s="1"/>
  <c r="J11" i="12"/>
  <c r="K11" i="12" s="1"/>
  <c r="L25" i="12" l="1"/>
  <c r="K89" i="12"/>
  <c r="J89" i="12"/>
  <c r="K48" i="12"/>
  <c r="L48" i="12" s="1"/>
  <c r="L89" i="12"/>
  <c r="L10" i="12"/>
  <c r="K10" i="12"/>
  <c r="J32" i="12"/>
  <c r="J48" i="12"/>
  <c r="J10" i="12"/>
  <c r="J25" i="12"/>
  <c r="J39" i="12"/>
  <c r="K103" i="12" l="1"/>
  <c r="K102" i="12"/>
  <c r="L102" i="12" s="1"/>
  <c r="K120" i="12" s="1"/>
  <c r="K115" i="12" s="1"/>
  <c r="I111" i="12" s="1"/>
  <c r="L103" i="12" l="1"/>
  <c r="K121" i="12" s="1"/>
  <c r="G37" i="3"/>
  <c r="I21" i="6"/>
  <c r="K116" i="12" l="1"/>
  <c r="C35" i="2"/>
  <c r="C73" i="2"/>
  <c r="C60" i="2" s="1"/>
  <c r="K117" i="12"/>
  <c r="F78" i="4"/>
  <c r="G79" i="4"/>
  <c r="G78" i="4" l="1"/>
  <c r="I24" i="6" l="1"/>
  <c r="I25" i="6"/>
  <c r="I26" i="6"/>
  <c r="J26" i="6" l="1"/>
  <c r="J25" i="6"/>
  <c r="J24" i="6"/>
  <c r="J38" i="10"/>
  <c r="E38" i="10"/>
  <c r="J31" i="10"/>
  <c r="E31" i="10"/>
  <c r="J24" i="10"/>
  <c r="E24" i="10"/>
  <c r="J17" i="10"/>
  <c r="E17" i="10"/>
  <c r="B16" i="4" l="1"/>
  <c r="B17" i="4"/>
  <c r="B16" i="3"/>
  <c r="B17" i="3"/>
  <c r="G31" i="4"/>
  <c r="G29" i="4"/>
  <c r="G30" i="4"/>
  <c r="G32" i="4"/>
  <c r="G33" i="4"/>
  <c r="G34" i="4"/>
  <c r="G35" i="4"/>
  <c r="I50" i="6" l="1"/>
  <c r="J50" i="6" s="1"/>
  <c r="I51" i="6"/>
  <c r="J51" i="6" s="1"/>
  <c r="I44" i="6"/>
  <c r="J44" i="6" s="1"/>
  <c r="I42" i="6"/>
  <c r="J42" i="6" s="1"/>
  <c r="H42" i="6"/>
  <c r="P42" i="6" s="1"/>
  <c r="I29" i="6"/>
  <c r="J29" i="6" s="1"/>
  <c r="H29" i="6"/>
  <c r="P29" i="6" s="1"/>
  <c r="I28" i="6"/>
  <c r="J28" i="6" s="1"/>
  <c r="H28" i="6"/>
  <c r="P28" i="6" s="1"/>
  <c r="J21" i="6"/>
  <c r="I22" i="6"/>
  <c r="J22" i="6" l="1"/>
  <c r="Q29" i="6"/>
  <c r="T29" i="6"/>
  <c r="S29" i="6"/>
  <c r="R29" i="6"/>
  <c r="R28" i="6"/>
  <c r="Q28" i="6"/>
  <c r="T28" i="6"/>
  <c r="S28" i="6"/>
  <c r="T42" i="6"/>
  <c r="S42" i="6"/>
  <c r="R42" i="6"/>
  <c r="Q42" i="6"/>
  <c r="I13" i="6"/>
  <c r="J13" i="6" s="1"/>
  <c r="I14" i="6" l="1"/>
  <c r="J14" i="6" s="1"/>
  <c r="H14" i="6"/>
  <c r="P14" i="6" s="1"/>
  <c r="R14" i="6" l="1"/>
  <c r="T14" i="6"/>
  <c r="Q14" i="6"/>
  <c r="S14" i="6"/>
  <c r="I20" i="6" l="1"/>
  <c r="J20" i="6" s="1"/>
  <c r="I18" i="6"/>
  <c r="J18" i="6" s="1"/>
  <c r="I16" i="6"/>
  <c r="J16" i="6" s="1"/>
  <c r="H20" i="6" l="1"/>
  <c r="P20" i="6" s="1"/>
  <c r="H18" i="6"/>
  <c r="P18" i="6" s="1"/>
  <c r="H16" i="6"/>
  <c r="P16" i="6" s="1"/>
  <c r="I23" i="6"/>
  <c r="I19" i="6"/>
  <c r="J19" i="6" s="1"/>
  <c r="I17" i="6"/>
  <c r="J17" i="6" s="1"/>
  <c r="I15" i="6"/>
  <c r="J15" i="6" s="1"/>
  <c r="J23" i="6" l="1"/>
  <c r="J52" i="6" s="1"/>
  <c r="S18" i="6"/>
  <c r="R18" i="6"/>
  <c r="Q18" i="6"/>
  <c r="T18" i="6"/>
  <c r="R20" i="6"/>
  <c r="Q20" i="6"/>
  <c r="T20" i="6"/>
  <c r="S20" i="6"/>
  <c r="T16" i="6"/>
  <c r="Q16" i="6"/>
  <c r="S16" i="6"/>
  <c r="R16" i="6"/>
  <c r="J5" i="2"/>
  <c r="E5" i="2" s="1"/>
  <c r="T53" i="6" l="1"/>
  <c r="S53" i="6"/>
  <c r="R53" i="6"/>
  <c r="Q53" i="6"/>
  <c r="V53" i="6" l="1"/>
  <c r="V54" i="6" s="1"/>
  <c r="P53" i="6"/>
  <c r="G49" i="4"/>
  <c r="E37" i="4"/>
  <c r="D37" i="4"/>
  <c r="G28" i="4"/>
  <c r="G27" i="4"/>
  <c r="G26" i="4"/>
  <c r="B18" i="4"/>
  <c r="B15" i="4"/>
  <c r="G34" i="3"/>
  <c r="G33" i="3"/>
  <c r="B18" i="3"/>
  <c r="B15" i="3"/>
  <c r="E33" i="2"/>
  <c r="E20" i="2"/>
  <c r="Y22" i="6" l="1"/>
  <c r="E35" i="2"/>
  <c r="Y23" i="6"/>
  <c r="X24" i="6" s="1"/>
  <c r="D73" i="2"/>
  <c r="G26" i="3"/>
  <c r="E7" i="2"/>
  <c r="C5" i="3"/>
  <c r="G64" i="3" s="1"/>
  <c r="G36" i="3"/>
  <c r="G37" i="4"/>
  <c r="Y33" i="6" l="1"/>
  <c r="Y32" i="6"/>
  <c r="D60" i="2"/>
  <c r="E37" i="2"/>
  <c r="D74" i="2" s="1"/>
  <c r="F35" i="2"/>
  <c r="G56" i="3"/>
  <c r="F28" i="2"/>
  <c r="F17" i="2"/>
  <c r="F29" i="2"/>
  <c r="F30" i="2"/>
  <c r="F18" i="2"/>
  <c r="G38" i="3"/>
  <c r="G39" i="3" s="1"/>
  <c r="F32" i="2"/>
  <c r="G39" i="4"/>
  <c r="G40" i="4" s="1"/>
  <c r="F13" i="2"/>
  <c r="F25" i="2"/>
  <c r="F24" i="2"/>
  <c r="F27" i="2"/>
  <c r="F12" i="2"/>
  <c r="F15" i="2"/>
  <c r="F14" i="2"/>
  <c r="F26" i="2"/>
  <c r="F19" i="2"/>
  <c r="F33" i="2"/>
  <c r="F23" i="2"/>
  <c r="F11" i="2"/>
  <c r="F10" i="2"/>
  <c r="F20" i="2"/>
  <c r="F31" i="2"/>
  <c r="F16" i="2"/>
  <c r="F55" i="3"/>
  <c r="F54" i="3"/>
  <c r="G61" i="3"/>
  <c r="G58" i="3"/>
  <c r="G65" i="3"/>
  <c r="G60" i="3"/>
  <c r="G57" i="3"/>
  <c r="G63" i="3"/>
  <c r="G62" i="3"/>
  <c r="Y34" i="6" l="1"/>
  <c r="X35" i="6" s="1"/>
  <c r="C74" i="2"/>
  <c r="C61" i="2" s="1"/>
  <c r="E61" i="2" s="1"/>
  <c r="D61" i="2"/>
  <c r="F37" i="2"/>
  <c r="G56" i="4"/>
  <c r="G57" i="4"/>
  <c r="G59" i="3"/>
  <c r="F59" i="3" s="1"/>
  <c r="G58" i="4" l="1"/>
  <c r="G60" i="4" l="1"/>
  <c r="G28" i="3"/>
  <c r="G29" i="3" s="1"/>
  <c r="G66" i="3" l="1"/>
  <c r="G50" i="3"/>
  <c r="G68" i="3" s="1"/>
  <c r="G67" i="3" l="1"/>
  <c r="G69" i="3" s="1"/>
  <c r="J69" i="3" l="1"/>
  <c r="G71" i="3"/>
  <c r="F69" i="3"/>
  <c r="H6" i="2" l="1"/>
  <c r="I6" i="2"/>
  <c r="F55" i="2" l="1"/>
  <c r="G80" i="4"/>
  <c r="E73" i="2"/>
  <c r="F73" i="2" s="1"/>
  <c r="G85" i="3"/>
  <c r="O22" i="2"/>
  <c r="O23" i="2" s="1"/>
  <c r="D4" i="4"/>
  <c r="E74" i="2"/>
  <c r="H73" i="2"/>
  <c r="I35" i="2"/>
  <c r="I37" i="2"/>
  <c r="H35" i="2"/>
  <c r="H37" i="2"/>
  <c r="H11" i="2"/>
  <c r="I16" i="2"/>
  <c r="I18" i="2"/>
  <c r="I17" i="2"/>
  <c r="H18" i="2"/>
  <c r="H17" i="2"/>
  <c r="H12" i="2"/>
  <c r="H10" i="2"/>
  <c r="C4" i="3"/>
  <c r="I11" i="2"/>
  <c r="I14" i="2"/>
  <c r="I13" i="2"/>
  <c r="H19" i="2"/>
  <c r="H16" i="2"/>
  <c r="J6" i="2"/>
  <c r="E6" i="2" s="1"/>
  <c r="I10" i="2"/>
  <c r="H15" i="2"/>
  <c r="H14" i="2"/>
  <c r="H13" i="2"/>
  <c r="I15" i="2"/>
  <c r="I19" i="2"/>
  <c r="I12" i="2"/>
  <c r="F74" i="2" l="1"/>
  <c r="H74" i="2"/>
  <c r="I74" i="2" s="1"/>
  <c r="I73" i="2"/>
  <c r="J35" i="2"/>
  <c r="J37" i="2"/>
  <c r="J18" i="2"/>
  <c r="J16" i="2"/>
  <c r="J12" i="2"/>
  <c r="C13" i="4"/>
  <c r="C16" i="4"/>
  <c r="C17" i="4"/>
  <c r="E16" i="3"/>
  <c r="D16" i="3" s="1"/>
  <c r="E17" i="3"/>
  <c r="D17" i="3" s="1"/>
  <c r="J17" i="2"/>
  <c r="E9" i="3"/>
  <c r="D9" i="3" s="1"/>
  <c r="J14" i="2"/>
  <c r="C12" i="4"/>
  <c r="C15" i="4"/>
  <c r="E18" i="3"/>
  <c r="D18" i="3" s="1"/>
  <c r="E10" i="3"/>
  <c r="D10" i="3" s="1"/>
  <c r="J11" i="2"/>
  <c r="J19" i="2"/>
  <c r="E13" i="3"/>
  <c r="D13" i="3" s="1"/>
  <c r="E14" i="3"/>
  <c r="D14" i="3" s="1"/>
  <c r="E15" i="3"/>
  <c r="D15" i="3" s="1"/>
  <c r="E11" i="3"/>
  <c r="D11" i="3" s="1"/>
  <c r="E12" i="3"/>
  <c r="D12" i="3" s="1"/>
  <c r="C9" i="4"/>
  <c r="C11" i="4"/>
  <c r="C10" i="4"/>
  <c r="C18" i="4"/>
  <c r="C14" i="4"/>
  <c r="J13" i="2"/>
  <c r="J15" i="2"/>
  <c r="I20" i="2"/>
  <c r="J10" i="2"/>
  <c r="H20" i="2"/>
  <c r="C22" i="3" l="1"/>
  <c r="C22" i="4"/>
  <c r="E19" i="3"/>
  <c r="C19" i="4"/>
  <c r="C21" i="4" s="1"/>
  <c r="J20" i="2"/>
  <c r="G64" i="4" l="1"/>
  <c r="C21" i="3"/>
  <c r="G78" i="3" s="1"/>
  <c r="G110" i="3"/>
  <c r="D19" i="3"/>
  <c r="G81" i="3" l="1"/>
  <c r="G82" i="3" s="1"/>
  <c r="G96" i="3" s="1"/>
  <c r="G99" i="3"/>
  <c r="G102" i="3" l="1"/>
  <c r="F75" i="2" s="1"/>
  <c r="G97" i="3"/>
  <c r="C54" i="2" s="1"/>
  <c r="F18" i="10"/>
  <c r="F19" i="10" s="1"/>
  <c r="F20" i="10" s="1"/>
  <c r="F21" i="10" s="1"/>
  <c r="F22" i="10" s="1"/>
  <c r="F23" i="10" s="1"/>
  <c r="F24" i="10"/>
  <c r="G109" i="3" l="1"/>
  <c r="I109" i="3" s="1"/>
  <c r="G103" i="3"/>
  <c r="G104" i="3" s="1"/>
  <c r="G105" i="3" s="1"/>
  <c r="G108" i="3"/>
  <c r="G111" i="3" s="1"/>
  <c r="G98" i="3"/>
  <c r="K18" i="10"/>
  <c r="K19" i="10" s="1"/>
  <c r="K20" i="10" s="1"/>
  <c r="K21" i="10" s="1"/>
  <c r="K22" i="10" s="1"/>
  <c r="K23" i="10" s="1"/>
  <c r="K24" i="10"/>
  <c r="F25" i="10"/>
  <c r="F26" i="10" s="1"/>
  <c r="F27" i="10" s="1"/>
  <c r="F28" i="10" s="1"/>
  <c r="F29" i="10" s="1"/>
  <c r="F30" i="10" s="1"/>
  <c r="F31" i="10"/>
  <c r="F32" i="10" s="1"/>
  <c r="F33" i="10" s="1"/>
  <c r="F34" i="10" s="1"/>
  <c r="F35" i="10" s="1"/>
  <c r="F36" i="10" s="1"/>
  <c r="F37" i="10" s="1"/>
  <c r="K25" i="10" l="1"/>
  <c r="K26" i="10" s="1"/>
  <c r="K27" i="10" s="1"/>
  <c r="K28" i="10" s="1"/>
  <c r="K29" i="10" s="1"/>
  <c r="K30" i="10" s="1"/>
  <c r="K31" i="10"/>
  <c r="K32" i="10" s="1"/>
  <c r="K33" i="10" s="1"/>
  <c r="K34" i="10" s="1"/>
  <c r="K35" i="10" s="1"/>
  <c r="K36" i="10" s="1"/>
  <c r="K37" i="10" s="1"/>
  <c r="F12" i="10" l="1"/>
  <c r="F13" i="10"/>
  <c r="F14" i="10"/>
  <c r="F15" i="10"/>
  <c r="F16" i="10"/>
  <c r="G71" i="4"/>
  <c r="G73" i="4" s="1"/>
  <c r="I75" i="2" s="1"/>
  <c r="G74" i="4" l="1"/>
  <c r="G75" i="4" s="1"/>
  <c r="G76" i="4" s="1"/>
  <c r="G67" i="4"/>
  <c r="G68" i="4" s="1"/>
  <c r="C56" i="2" l="1"/>
  <c r="E56" i="2" s="1"/>
  <c r="G69" i="4"/>
  <c r="E62" i="2" l="1"/>
  <c r="D75" i="2"/>
  <c r="C75" i="2" s="1"/>
  <c r="G70" i="4"/>
  <c r="C55" i="2"/>
  <c r="E55" i="2" s="1"/>
  <c r="E54" i="2"/>
  <c r="D62" i="2" l="1"/>
  <c r="D76" i="2"/>
  <c r="D63" i="2" s="1"/>
  <c r="E75" i="2"/>
  <c r="H75" i="2"/>
  <c r="C67" i="2" l="1"/>
  <c r="D67" i="2" s="1"/>
  <c r="C62" i="2"/>
  <c r="C68" i="2"/>
  <c r="C69" i="2"/>
  <c r="C76" i="2"/>
  <c r="C63" i="2" s="1"/>
  <c r="D68" i="2" l="1"/>
  <c r="C5" i="10"/>
  <c r="F11" i="10" s="1"/>
  <c r="D69" i="2"/>
  <c r="C6" i="10"/>
  <c r="K11" i="10" s="1"/>
  <c r="F17" i="10" l="1"/>
  <c r="F38" i="10"/>
  <c r="K13" i="10"/>
  <c r="K14" i="10" s="1"/>
  <c r="K15" i="10" s="1"/>
  <c r="K16" i="10" s="1"/>
  <c r="K17" i="10"/>
  <c r="K3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vtiwari</author>
  </authors>
  <commentList>
    <comment ref="C6" authorId="0" shapeId="0" xr:uid="{00000000-0006-0000-0200-000001000000}">
      <text>
        <r>
          <rPr>
            <b/>
            <sz val="9"/>
            <color indexed="81"/>
            <rFont val="Tahoma"/>
            <family val="2"/>
          </rPr>
          <t xml:space="preserve">CMHC:
</t>
        </r>
        <r>
          <rPr>
            <sz val="9"/>
            <color indexed="81"/>
            <rFont val="Tahoma"/>
            <family val="2"/>
          </rPr>
          <t xml:space="preserve">To be filled using Housing Market Information Portal (Steps detailed below in Helpful Tips Section)
</t>
        </r>
      </text>
    </comment>
    <comment ref="C7" authorId="0" shapeId="0" xr:uid="{00000000-0006-0000-0200-000002000000}">
      <text>
        <r>
          <rPr>
            <b/>
            <sz val="9"/>
            <color indexed="81"/>
            <rFont val="Tahoma"/>
            <family val="2"/>
          </rPr>
          <t xml:space="preserve">CMHC:
</t>
        </r>
        <r>
          <rPr>
            <sz val="9"/>
            <color indexed="81"/>
            <rFont val="Tahoma"/>
            <family val="2"/>
          </rPr>
          <t>To be filled using Housing Market Information Portal (Steps detailed below in Helpful Tips section)</t>
        </r>
      </text>
    </comment>
    <comment ref="C8" authorId="0" shapeId="0" xr:uid="{00000000-0006-0000-0200-000003000000}">
      <text>
        <r>
          <rPr>
            <b/>
            <sz val="9"/>
            <color indexed="81"/>
            <rFont val="Tahoma"/>
            <family val="2"/>
          </rPr>
          <t xml:space="preserve">CMHC:
</t>
        </r>
        <r>
          <rPr>
            <sz val="9"/>
            <color indexed="81"/>
            <rFont val="Tahoma"/>
            <family val="2"/>
          </rPr>
          <t>To be filled using Housing Market Information Portal (Steps detailed below in Helpful Tips section)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vtiwari</author>
    <author>barichar</author>
  </authors>
  <commentList>
    <comment ref="B16" authorId="0" shapeId="0" xr:uid="{00000000-0006-0000-0300-000001000000}">
      <text>
        <r>
          <rPr>
            <b/>
            <sz val="9"/>
            <color indexed="81"/>
            <rFont val="Tahoma"/>
            <family val="2"/>
          </rPr>
          <t xml:space="preserve">CMHC:
</t>
        </r>
        <r>
          <rPr>
            <sz val="9"/>
            <color indexed="81"/>
            <rFont val="Tahoma"/>
            <family val="2"/>
          </rPr>
          <t>Input any other costs not reported in this section.</t>
        </r>
        <r>
          <rPr>
            <sz val="9"/>
            <color indexed="81"/>
            <rFont val="Tahoma"/>
            <family val="2"/>
          </rPr>
          <t xml:space="preserve">
</t>
        </r>
      </text>
    </comment>
    <comment ref="B17" authorId="0" shapeId="0" xr:uid="{00000000-0006-0000-0300-000002000000}">
      <text>
        <r>
          <rPr>
            <b/>
            <sz val="9"/>
            <color indexed="81"/>
            <rFont val="Tahoma"/>
            <family val="2"/>
          </rPr>
          <t xml:space="preserve">CMHC:
</t>
        </r>
        <r>
          <rPr>
            <sz val="9"/>
            <color indexed="81"/>
            <rFont val="Tahoma"/>
            <family val="2"/>
          </rPr>
          <t>Input any other costs not reported in this section.</t>
        </r>
      </text>
    </comment>
    <comment ref="B18" authorId="0" shapeId="0" xr:uid="{00000000-0006-0000-0300-000003000000}">
      <text>
        <r>
          <rPr>
            <b/>
            <sz val="9"/>
            <color indexed="81"/>
            <rFont val="Tahoma"/>
            <family val="2"/>
          </rPr>
          <t>CMHC:</t>
        </r>
        <r>
          <rPr>
            <sz val="9"/>
            <color indexed="81"/>
            <rFont val="Tahoma"/>
            <family val="2"/>
          </rPr>
          <t xml:space="preserve">
Input any other costs not reported in this section.</t>
        </r>
      </text>
    </comment>
    <comment ref="B19" authorId="0" shapeId="0" xr:uid="{00000000-0006-0000-0300-000004000000}">
      <text>
        <r>
          <rPr>
            <b/>
            <sz val="9"/>
            <color indexed="81"/>
            <rFont val="Tahoma"/>
            <family val="2"/>
          </rPr>
          <t>CMHC:</t>
        </r>
        <r>
          <rPr>
            <sz val="9"/>
            <color indexed="81"/>
            <rFont val="Tahoma"/>
            <family val="2"/>
          </rPr>
          <t xml:space="preserve">
Input any other costs not reported in this section.</t>
        </r>
      </text>
    </comment>
    <comment ref="B27" authorId="0" shapeId="0" xr:uid="{00000000-0006-0000-0300-000005000000}">
      <text>
        <r>
          <rPr>
            <b/>
            <sz val="9"/>
            <color indexed="81"/>
            <rFont val="Tahoma"/>
            <family val="2"/>
          </rPr>
          <t xml:space="preserve">CMHC:
</t>
        </r>
        <r>
          <rPr>
            <sz val="9"/>
            <color indexed="81"/>
            <rFont val="Tahoma"/>
            <family val="2"/>
          </rPr>
          <t xml:space="preserve">Input any other source not reported in this section.
</t>
        </r>
      </text>
    </comment>
    <comment ref="B28" authorId="0" shapeId="0" xr:uid="{00000000-0006-0000-0300-000006000000}">
      <text>
        <r>
          <rPr>
            <b/>
            <sz val="9"/>
            <color indexed="81"/>
            <rFont val="Tahoma"/>
            <family val="2"/>
          </rPr>
          <t xml:space="preserve">CMHC:
</t>
        </r>
        <r>
          <rPr>
            <sz val="9"/>
            <color indexed="81"/>
            <rFont val="Tahoma"/>
            <family val="2"/>
          </rPr>
          <t xml:space="preserve">Input any other source not reported in this section.
</t>
        </r>
      </text>
    </comment>
    <comment ref="B29" authorId="0" shapeId="0" xr:uid="{00000000-0006-0000-0300-000007000000}">
      <text>
        <r>
          <rPr>
            <b/>
            <sz val="9"/>
            <color indexed="81"/>
            <rFont val="Tahoma"/>
            <family val="2"/>
          </rPr>
          <t xml:space="preserve">CMHC:
</t>
        </r>
        <r>
          <rPr>
            <sz val="9"/>
            <color indexed="81"/>
            <rFont val="Tahoma"/>
            <family val="2"/>
          </rPr>
          <t xml:space="preserve">Input any other source not reported in this section.
</t>
        </r>
      </text>
    </comment>
    <comment ref="B30" authorId="0" shapeId="0" xr:uid="{00000000-0006-0000-0300-000008000000}">
      <text>
        <r>
          <rPr>
            <b/>
            <sz val="9"/>
            <color indexed="81"/>
            <rFont val="Tahoma"/>
            <family val="2"/>
          </rPr>
          <t xml:space="preserve">CMHC:
</t>
        </r>
        <r>
          <rPr>
            <sz val="9"/>
            <color indexed="81"/>
            <rFont val="Tahoma"/>
            <family val="2"/>
          </rPr>
          <t xml:space="preserve">Input any other source not reported in this section.
</t>
        </r>
      </text>
    </comment>
    <comment ref="B32" authorId="1" shapeId="0" xr:uid="{00000000-0006-0000-0300-000009000000}">
      <text>
        <r>
          <rPr>
            <sz val="11"/>
            <color indexed="81"/>
            <rFont val="Tahoma"/>
            <family val="2"/>
          </rPr>
          <t>CMHC SEED loan will be repaid by the first advance of project funds and should not be included as a source of funds.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rprifti</author>
    <author>vtiwari</author>
  </authors>
  <commentList>
    <comment ref="B27" authorId="0" shapeId="0" xr:uid="{00000000-0006-0000-0400-000001000000}">
      <text>
        <r>
          <rPr>
            <b/>
            <sz val="9"/>
            <color indexed="81"/>
            <rFont val="Tahoma"/>
            <family val="2"/>
          </rPr>
          <t>CMHC:</t>
        </r>
        <r>
          <rPr>
            <sz val="9"/>
            <color indexed="81"/>
            <rFont val="Tahoma"/>
            <family val="2"/>
          </rPr>
          <t xml:space="preserve">
Find the vacancy rate in the Housing Market Information portal located in the top right corner of the Rents-Affordability sheet.Follow step 6 of the instructions.</t>
        </r>
      </text>
    </comment>
    <comment ref="B44" authorId="0" shapeId="0" xr:uid="{00000000-0006-0000-0400-000002000000}">
      <text>
        <r>
          <rPr>
            <b/>
            <sz val="9"/>
            <color indexed="81"/>
            <rFont val="Tahoma"/>
            <family val="2"/>
          </rPr>
          <t>CMHC:</t>
        </r>
        <r>
          <rPr>
            <sz val="9"/>
            <color indexed="81"/>
            <rFont val="Tahoma"/>
            <family val="2"/>
          </rPr>
          <t xml:space="preserve">
Input any other income not reported in this or the above sections.</t>
        </r>
      </text>
    </comment>
    <comment ref="B45" authorId="1" shapeId="0" xr:uid="{00000000-0006-0000-0400-000003000000}">
      <text>
        <r>
          <rPr>
            <b/>
            <sz val="9"/>
            <color indexed="81"/>
            <rFont val="Tahoma"/>
            <family val="2"/>
          </rPr>
          <t>CMHC:</t>
        </r>
        <r>
          <rPr>
            <sz val="9"/>
            <color indexed="81"/>
            <rFont val="Tahoma"/>
            <family val="2"/>
          </rPr>
          <t xml:space="preserve">
Input any other income not reported in this or the above sections.</t>
        </r>
      </text>
    </comment>
    <comment ref="B46" authorId="1" shapeId="0" xr:uid="{00000000-0006-0000-0400-000004000000}">
      <text>
        <r>
          <rPr>
            <b/>
            <sz val="9"/>
            <color indexed="81"/>
            <rFont val="Tahoma"/>
            <family val="2"/>
          </rPr>
          <t xml:space="preserve">CMHC:
</t>
        </r>
        <r>
          <rPr>
            <sz val="9"/>
            <color indexed="81"/>
            <rFont val="Tahoma"/>
            <family val="2"/>
          </rPr>
          <t>Input any other income not reported in this or the above sections.</t>
        </r>
      </text>
    </comment>
    <comment ref="B47" authorId="0" shapeId="0" xr:uid="{00000000-0006-0000-0400-000005000000}">
      <text>
        <r>
          <rPr>
            <b/>
            <sz val="9"/>
            <color indexed="81"/>
            <rFont val="Tahoma"/>
            <family val="2"/>
          </rPr>
          <t>CMHC:</t>
        </r>
        <r>
          <rPr>
            <sz val="9"/>
            <color indexed="81"/>
            <rFont val="Tahoma"/>
            <family val="2"/>
          </rPr>
          <t xml:space="preserve">
Input any other income not reported in this or the above sections.</t>
        </r>
      </text>
    </comment>
    <comment ref="B62" authorId="0" shapeId="0" xr:uid="{00000000-0006-0000-0400-000006000000}">
      <text>
        <r>
          <rPr>
            <b/>
            <sz val="9"/>
            <color indexed="81"/>
            <rFont val="Tahoma"/>
            <family val="2"/>
          </rPr>
          <t>CMHC:</t>
        </r>
        <r>
          <rPr>
            <sz val="9"/>
            <color indexed="81"/>
            <rFont val="Tahoma"/>
            <family val="2"/>
          </rPr>
          <t xml:space="preserve">
Input any other costs not reported in this section.</t>
        </r>
      </text>
    </comment>
    <comment ref="B63" authorId="0" shapeId="0" xr:uid="{00000000-0006-0000-0400-000007000000}">
      <text>
        <r>
          <rPr>
            <b/>
            <sz val="9"/>
            <color indexed="81"/>
            <rFont val="Tahoma"/>
            <family val="2"/>
          </rPr>
          <t>CMHC:</t>
        </r>
        <r>
          <rPr>
            <sz val="9"/>
            <color indexed="81"/>
            <rFont val="Tahoma"/>
            <family val="2"/>
          </rPr>
          <t xml:space="preserve">
Input any other costs not reported in this section.</t>
        </r>
      </text>
    </comment>
    <comment ref="B64" authorId="1" shapeId="0" xr:uid="{00000000-0006-0000-0400-000008000000}">
      <text>
        <r>
          <rPr>
            <b/>
            <sz val="9"/>
            <color indexed="81"/>
            <rFont val="Tahoma"/>
            <family val="2"/>
          </rPr>
          <t xml:space="preserve">CMHC:
</t>
        </r>
        <r>
          <rPr>
            <sz val="9"/>
            <color indexed="81"/>
            <rFont val="Tahoma"/>
            <family val="2"/>
          </rPr>
          <t xml:space="preserve">Input any other costs not reported in this section.
</t>
        </r>
      </text>
    </comment>
    <comment ref="B65" authorId="0" shapeId="0" xr:uid="{00000000-0006-0000-0400-000009000000}">
      <text>
        <r>
          <rPr>
            <b/>
            <sz val="9"/>
            <color indexed="81"/>
            <rFont val="Tahoma"/>
            <family val="2"/>
          </rPr>
          <t>CMHC:</t>
        </r>
        <r>
          <rPr>
            <sz val="9"/>
            <color indexed="81"/>
            <rFont val="Tahoma"/>
            <family val="2"/>
          </rPr>
          <t xml:space="preserve">
Input any other costs not reported in this section.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rprifti</author>
    <author>vtiwari</author>
  </authors>
  <commentList>
    <comment ref="B52" authorId="0" shapeId="0" xr:uid="{00000000-0006-0000-0500-000001000000}">
      <text>
        <r>
          <rPr>
            <b/>
            <sz val="9"/>
            <color indexed="81"/>
            <rFont val="Tahoma"/>
            <family val="2"/>
          </rPr>
          <t>CMHC:</t>
        </r>
        <r>
          <rPr>
            <sz val="9"/>
            <color indexed="81"/>
            <rFont val="Tahoma"/>
            <family val="2"/>
          </rPr>
          <t xml:space="preserve">
Input any other costs not reported in this section.</t>
        </r>
      </text>
    </comment>
    <comment ref="B53" authorId="1" shapeId="0" xr:uid="{00000000-0006-0000-0500-000002000000}">
      <text>
        <r>
          <rPr>
            <b/>
            <sz val="9"/>
            <color indexed="81"/>
            <rFont val="Tahoma"/>
            <family val="2"/>
          </rPr>
          <t>CMHC:</t>
        </r>
        <r>
          <rPr>
            <sz val="9"/>
            <color indexed="81"/>
            <rFont val="Tahoma"/>
            <family val="2"/>
          </rPr>
          <t xml:space="preserve">
Input any other costs not reported in this section.</t>
        </r>
      </text>
    </comment>
    <comment ref="B54" authorId="0" shapeId="0" xr:uid="{00000000-0006-0000-0500-000003000000}">
      <text>
        <r>
          <rPr>
            <b/>
            <sz val="9"/>
            <color indexed="81"/>
            <rFont val="Tahoma"/>
            <family val="2"/>
          </rPr>
          <t>CMHC:</t>
        </r>
        <r>
          <rPr>
            <sz val="9"/>
            <color indexed="81"/>
            <rFont val="Tahoma"/>
            <family val="2"/>
          </rPr>
          <t xml:space="preserve">
Input any other costs not reported in this section.</t>
        </r>
      </text>
    </comment>
    <comment ref="B55" authorId="0" shapeId="0" xr:uid="{00000000-0006-0000-0500-000004000000}">
      <text>
        <r>
          <rPr>
            <b/>
            <sz val="9"/>
            <color indexed="81"/>
            <rFont val="Tahoma"/>
            <family val="2"/>
          </rPr>
          <t>CMHC:</t>
        </r>
        <r>
          <rPr>
            <sz val="9"/>
            <color indexed="81"/>
            <rFont val="Tahoma"/>
            <family val="2"/>
          </rPr>
          <t xml:space="preserve">
Input any other costs not reported in this section.</t>
        </r>
      </text>
    </comment>
  </commentList>
</comments>
</file>

<file path=xl/sharedStrings.xml><?xml version="1.0" encoding="utf-8"?>
<sst xmlns="http://schemas.openxmlformats.org/spreadsheetml/2006/main" count="671" uniqueCount="455">
  <si>
    <t>Viability Assessment Calculator and Scoring Grid</t>
  </si>
  <si>
    <t>File Type</t>
  </si>
  <si>
    <t>Repair and Renewal</t>
  </si>
  <si>
    <t xml:space="preserve">Version </t>
  </si>
  <si>
    <r>
      <t xml:space="preserve">
</t>
    </r>
    <r>
      <rPr>
        <b/>
        <u/>
        <sz val="11"/>
        <color theme="1"/>
        <rFont val="Calibri"/>
        <family val="2"/>
        <scheme val="minor"/>
      </rPr>
      <t>Legal Disclaimer and Notice</t>
    </r>
    <r>
      <rPr>
        <sz val="11"/>
        <color theme="1"/>
        <rFont val="Calibri"/>
        <family val="2"/>
        <scheme val="minor"/>
      </rPr>
      <t xml:space="preserve">  - The Financial Viability Assessment Calculator and Scoring Grid is for general illustrative and estimation purposes only. The amounts it projects are based upon the information provided and the assumptions and estimates made by the model.  CMHC does not guarantee these projections. They are not intended to provide financial or other advice on particular housing projects and they should not be relied upon in that regard.  Neither CMHC nor any of its employees or advisors shall have any liability for the accuracy of the projections contained in the tool or for any damage caused by the use of the information.   The use of this assessment tool and its results with regard to any housing project do not oblige CMHC to insure the project financing nor provide funding for the housing project under this initiative or under any other CMHC program or initiative.  You are encouraged to contact your local CMHC Specialist for assistance with this tool.</t>
    </r>
  </si>
  <si>
    <t>Tips</t>
  </si>
  <si>
    <t>a</t>
  </si>
  <si>
    <t>Connect with a local CMHC Specialist</t>
  </si>
  <si>
    <t>Instructions and Helpful Tips have been provided to help you navigate the tool</t>
  </si>
  <si>
    <t>The yellow highlighted fields throughout the workbook need to be completed as accurately as possible</t>
  </si>
  <si>
    <t xml:space="preserve">Note: Only YELLOW hi-lighted fields that are applicable need to be input. </t>
  </si>
  <si>
    <t>INSTRUCTIONS</t>
  </si>
  <si>
    <t>2) Answer each question as accurately as possible, by selecting the correct option from the drop-down menu</t>
  </si>
  <si>
    <r>
      <t xml:space="preserve">3) Under "Eligible Funding Results" at the bottom of the page, select your </t>
    </r>
    <r>
      <rPr>
        <b/>
        <sz val="14"/>
        <color theme="1"/>
        <rFont val="Calibri"/>
        <family val="2"/>
      </rPr>
      <t>organization type</t>
    </r>
    <r>
      <rPr>
        <sz val="14"/>
        <color theme="1"/>
        <rFont val="Calibri"/>
        <family val="2"/>
        <scheme val="minor"/>
      </rPr>
      <t xml:space="preserve"> from the drop-down list</t>
    </r>
  </si>
  <si>
    <t>Weight</t>
  </si>
  <si>
    <t>Maximum Points Available</t>
  </si>
  <si>
    <t>Answer</t>
  </si>
  <si>
    <t>Score</t>
  </si>
  <si>
    <t>% of Max. Score</t>
  </si>
  <si>
    <r>
      <t xml:space="preserve">Affordability (See </t>
    </r>
    <r>
      <rPr>
        <b/>
        <sz val="9.9"/>
        <color rgb="FFC00000"/>
        <rFont val="Calibri"/>
        <family val="2"/>
      </rPr>
      <t>Test 1</t>
    </r>
    <r>
      <rPr>
        <b/>
        <sz val="11"/>
        <color rgb="FFC00000"/>
        <rFont val="Calibri"/>
        <family val="2"/>
        <scheme val="minor"/>
      </rPr>
      <t xml:space="preserve"> &amp; 2 </t>
    </r>
    <r>
      <rPr>
        <b/>
        <sz val="11"/>
        <color theme="1"/>
        <rFont val="Calibri"/>
        <family val="2"/>
        <scheme val="minor"/>
      </rPr>
      <t>in the Rents &amp; Affordability Tab)</t>
    </r>
  </si>
  <si>
    <t>What percentage of units are at rental costs less than 80% of median market rent?</t>
  </si>
  <si>
    <t>¢</t>
  </si>
  <si>
    <t xml:space="preserve">1.     30% of units are at rental cost of less than 80% of Median Market Rent </t>
  </si>
  <si>
    <t xml:space="preserve">2.     31% to 40% of units at rental cost of less than 80% of Median Market Rent </t>
  </si>
  <si>
    <t xml:space="preserve">3.     41% to 45% of units at rental cost of less than 80% of Median Market Rent </t>
  </si>
  <si>
    <t xml:space="preserve">4.     46% to 50% of units at rental cost of less than 80% of Median Market Rent </t>
  </si>
  <si>
    <t xml:space="preserve">5.     Above 50% of units at rental cost of less than 80% of Median Market Rent </t>
  </si>
  <si>
    <t>For units that are designated as affordable, what is the average rental amount?</t>
  </si>
  <si>
    <t>1.      Designated affordable units, on average, are below 80% of the Median Market Rent</t>
  </si>
  <si>
    <t>2.      Designated affordable units, on average, are within 70 - 79% of the Median Market Rent</t>
  </si>
  <si>
    <t>3.      Designated affordable units, on average, are within 60 - 69% of the Median Market Rent</t>
  </si>
  <si>
    <t>4.      Designated affordable units, on average, are within 50 - 59% of the Median Market Rent</t>
  </si>
  <si>
    <t>5.      Designated affordable units, on average, are below 50% of the Median Market Rent</t>
  </si>
  <si>
    <t>What percentage of units meet accessibility standards</t>
  </si>
  <si>
    <t xml:space="preserve">1. Barrier free common areas and 20% of units meet accessibility standards </t>
  </si>
  <si>
    <t>2. Barrier free common areas and 21-25% of units meet accessibility standards</t>
  </si>
  <si>
    <t xml:space="preserve">3. Barrier free common areas and 26-30% of units meet accessibility standards </t>
  </si>
  <si>
    <t xml:space="preserve">4. Barrier free common areas and 31%+ of units meet accessibility standards </t>
  </si>
  <si>
    <t>What percentage reduction in operating energy consumption and greenhouse gas emissions will your project achieve?</t>
  </si>
  <si>
    <t>1.  Minimum 25% reduction in operating energy consumption and greenhouse gas emissions</t>
  </si>
  <si>
    <t>2.  26 - 40% reduction in operating energy consumption and greenhouse gas emissions</t>
  </si>
  <si>
    <t>3.  41 - 55% reduction in operating energy consumption and greenhouse gas emissions</t>
  </si>
  <si>
    <t xml:space="preserve">4.  Over 55% reduction in operating energy consumption and greenhouse gas emissions </t>
  </si>
  <si>
    <t>Partnerships</t>
  </si>
  <si>
    <t>What percentage of costs will be covered by financial support received from others?</t>
  </si>
  <si>
    <t>1. 10% or less of project costs are  covered from other sources.</t>
  </si>
  <si>
    <t>2.  11% to 25% of project costs are covered from other sources.</t>
  </si>
  <si>
    <t>3.  26% to 40% of project costs are covered from other sources.</t>
  </si>
  <si>
    <t>4.  41% to 55% of project costs are covered from other sources.</t>
  </si>
  <si>
    <t>5.  56% to 75% of project costs are covered from other sources.</t>
  </si>
  <si>
    <t>6.  More than 75% of project costs are covered from other sources.</t>
  </si>
  <si>
    <t>Proximity to Amenities</t>
  </si>
  <si>
    <t>Is the project within 1 kilometer of a public transit station or bus stop?</t>
  </si>
  <si>
    <t>Yes</t>
  </si>
  <si>
    <t>No</t>
  </si>
  <si>
    <t>Is the project within 1 kilometer of a grocery store?</t>
  </si>
  <si>
    <t>Is the project within 1 kilometer of a neighborhood park?</t>
  </si>
  <si>
    <t>Is the project within 1 kilometer of a pharmacy?</t>
  </si>
  <si>
    <t>Is the project within 1 kilometer of a community centre?</t>
  </si>
  <si>
    <t>Is the project within 1.5 kilometers of a publically funded elementary school?</t>
  </si>
  <si>
    <t>Is the project within 1.5 kilometers of a public library?</t>
  </si>
  <si>
    <t>Is the project within 1.5 kilometers of a child care centre?</t>
  </si>
  <si>
    <t>Is the project within 3 kilometers of  health care services or a hospital?</t>
  </si>
  <si>
    <t>Is the project within 10 kilometers of an area with job opportunities (e.g. business district, commercial strip, industrial site)?</t>
  </si>
  <si>
    <t>What percentage of units in your project are specifically dedicated to meeting the needs of priority groups or vulnerable populations?</t>
  </si>
  <si>
    <t>1. there are no units dedicated to meeting the needs of priority groups or vulnerable populations</t>
  </si>
  <si>
    <t>2.  1% to 20% of units are dedicated to meeting the needs of priority groups or vulnerable populations</t>
  </si>
  <si>
    <t>3.  21% to 35% of units are dedicated to meeting the needs of priority groups or vulnerable populations</t>
  </si>
  <si>
    <t>4.  36% to 50% of units are dedicated to meeting the needs of priority groups or vulnerable populations</t>
  </si>
  <si>
    <t>5.  More than 50% of units are dedicated to meeting the needs of priority groups or vulnerable populations</t>
  </si>
  <si>
    <t>Will there be integrated support or services available for tenants onsite?</t>
  </si>
  <si>
    <t>1.  There will be no  integrated supports / services for tenants onsite.</t>
  </si>
  <si>
    <t>2.  There will be part-time integrated supports / services for tenants onsite.</t>
  </si>
  <si>
    <t>3.  There will be full-time integrated supports / services for tenants onsite.</t>
  </si>
  <si>
    <t>Total Prioritization Scoring: to determine Base Funding for Forgivable Loans</t>
  </si>
  <si>
    <t xml:space="preserve">Total Incentive Scoring: to determine Forgivable Loan for Higher Performance
</t>
  </si>
  <si>
    <t xml:space="preserve">Eligible Funding Results (% of Eligible Project Costs)
</t>
  </si>
  <si>
    <t>Select your organization type:</t>
  </si>
  <si>
    <t>TOTAL ELIGIBLE FUNDING</t>
  </si>
  <si>
    <t>Funding Type:</t>
  </si>
  <si>
    <t>Repayable Loan</t>
  </si>
  <si>
    <t>Eligible Funding Breakdown: Repayable vs. Forgivable</t>
  </si>
  <si>
    <t>Repayable</t>
  </si>
  <si>
    <t>Forgivable</t>
  </si>
  <si>
    <t>Maximum Base Funding</t>
  </si>
  <si>
    <t>Purpose: Reward for Higher Performance in Affordability, Accessibility and Energy Efficiency</t>
  </si>
  <si>
    <t>Non-Profit / Co-op / Indigenous Group or Government</t>
  </si>
  <si>
    <t>Province / Territory / Municipality</t>
  </si>
  <si>
    <t>Forgivable Loan</t>
  </si>
  <si>
    <t>For-Profit (Private Sector)</t>
  </si>
  <si>
    <t>Loans</t>
  </si>
  <si>
    <t>Repairs</t>
  </si>
  <si>
    <t>Prioritization Score</t>
  </si>
  <si>
    <t>Contributions</t>
  </si>
  <si>
    <t>0 - 24</t>
  </si>
  <si>
    <t>25 - 74</t>
  </si>
  <si>
    <t>75 - 100</t>
  </si>
  <si>
    <t>Contributions for Higher Performance</t>
  </si>
  <si>
    <t>Incentive Score</t>
  </si>
  <si>
    <t>0 - 29</t>
  </si>
  <si>
    <t>30-59</t>
  </si>
  <si>
    <t>60-89</t>
  </si>
  <si>
    <t>90 – 100</t>
  </si>
  <si>
    <t>Total contributions, including contributions for higher performance cannot exceed the following:</t>
  </si>
  <si>
    <t>Maximum Contributions</t>
  </si>
  <si>
    <t>up to 40% of cost</t>
  </si>
  <si>
    <t>up to 30% of cost</t>
  </si>
  <si>
    <t>up to 15% of cost</t>
  </si>
  <si>
    <t>PRO TIPS</t>
  </si>
  <si>
    <t>This funding option should be selected when your organization has the capacity to carry project debt</t>
  </si>
  <si>
    <t>There are two components that determine Eligible Funding:</t>
  </si>
  <si>
    <t>A) The Maximum Base Funding is based on your Organization Type</t>
  </si>
  <si>
    <t>B) Forgivable Loan for Higher Performance:</t>
  </si>
  <si>
    <t>1. Affordability</t>
  </si>
  <si>
    <t>2. Accessibility</t>
  </si>
  <si>
    <t>3. Energy Efficiency</t>
  </si>
  <si>
    <t>*In exceptional cases, additional forgivable loan may be available for projects that require reduced borrowing to attain break-even cash flows 
(defined as a Debt Coverage Ratio of 1.0) - Talk to your CMHC Specialist</t>
  </si>
  <si>
    <t>Rents &amp; Affordability: Repair and Renewal</t>
  </si>
  <si>
    <t xml:space="preserve">Affordable Rent Ranges as percentage of MMR </t>
  </si>
  <si>
    <t>1) To complete this tab you will need data from CMHC's Housing Market Information (HMI) Portal</t>
  </si>
  <si>
    <t>Project Location</t>
  </si>
  <si>
    <t>Accessing CMHC's Housing Market Information (HMI) Portal</t>
  </si>
  <si>
    <t>You can access the HMI via this link</t>
  </si>
  <si>
    <t>Province</t>
  </si>
  <si>
    <t>Select your location by choosing the appropriate Country, Province, City/Town and Survey Zone</t>
  </si>
  <si>
    <t>City</t>
  </si>
  <si>
    <t>Record this information under "Project Location"</t>
  </si>
  <si>
    <t>Survey Zone</t>
  </si>
  <si>
    <t>Note: If your project is not located in a surveyed centre or you are unable to find the required data, please contact your CMHC Specialist</t>
  </si>
  <si>
    <t>70% to</t>
  </si>
  <si>
    <t>60% to</t>
  </si>
  <si>
    <t>50% to</t>
  </si>
  <si>
    <t>Below</t>
  </si>
  <si>
    <t>Click on "Full view"- In the tables on the left panel select "Primary Rental Market" and then "Median Rent ($)"</t>
  </si>
  <si>
    <t>Monthly</t>
  </si>
  <si>
    <t>Annual</t>
  </si>
  <si>
    <t>Be sure to select the correct unit type (row vs. apartment)</t>
  </si>
  <si>
    <t>Unit</t>
  </si>
  <si>
    <t>Number</t>
  </si>
  <si>
    <t>Monthly Market</t>
  </si>
  <si>
    <t xml:space="preserve">Affordable </t>
  </si>
  <si>
    <t xml:space="preserve">Monthly Median </t>
  </si>
  <si>
    <t>Affordable Rent</t>
  </si>
  <si>
    <t>Proforma</t>
  </si>
  <si>
    <t>PGI Proforma</t>
  </si>
  <si>
    <t>Lower Limit</t>
  </si>
  <si>
    <t>Unit type</t>
  </si>
  <si>
    <t>Size (sq ft)</t>
  </si>
  <si>
    <t>of Units</t>
  </si>
  <si>
    <t>Rent (PGI)</t>
  </si>
  <si>
    <t>Mkt Rent (MMR)</t>
  </si>
  <si>
    <t xml:space="preserve">as % of MMR </t>
  </si>
  <si>
    <t xml:space="preserve">Rents </t>
  </si>
  <si>
    <t>Total</t>
  </si>
  <si>
    <t>Comments</t>
  </si>
  <si>
    <t>Upper Limit</t>
  </si>
  <si>
    <t>2) Yellow cells need to be populated: Enter the size, number of units and intended rent in the relevant line -​ Do not enter an average</t>
  </si>
  <si>
    <t>Bachelor - market</t>
  </si>
  <si>
    <t>Bachelor - affordable</t>
  </si>
  <si>
    <t>1 bed (incl. 1 bed plus den) - market</t>
  </si>
  <si>
    <t>1 bed (incl. 1 bed plus den) - affordable</t>
  </si>
  <si>
    <t>TEST 1- # of Affordable Units</t>
  </si>
  <si>
    <t>2 bed (incl. 2 bed plus den) - market</t>
  </si>
  <si>
    <t>Purpose:</t>
  </si>
  <si>
    <t>2 bed (incl. 2 bed plus den) - affordable</t>
  </si>
  <si>
    <t xml:space="preserve"> Confirms the number of units below 80% MMR</t>
  </si>
  <si>
    <t>3 bed (incl. 3 bed plus den) - market</t>
  </si>
  <si>
    <t>3 bed (incl. 3 bed plus den) - affordable</t>
  </si>
  <si>
    <t>4 bed (incl. 4 bed plus den) - market</t>
  </si>
  <si>
    <t>Results</t>
  </si>
  <si>
    <t>4 bed (incl. 4 bed plus den) - affordable</t>
  </si>
  <si>
    <t># of units with rents  below 80% MMR</t>
  </si>
  <si>
    <t>Single Room Occupancy Rooms - With No Rental Income</t>
  </si>
  <si>
    <t>% of units with rents below 80% MMR</t>
  </si>
  <si>
    <t>Single Room Occupancy Rooms - With Rental Income</t>
  </si>
  <si>
    <t>Shelters, beds - With No Rental Income</t>
  </si>
  <si>
    <t>Shelters, beds - With Rental Income</t>
  </si>
  <si>
    <t>TEST 2- Depth of Affordability</t>
  </si>
  <si>
    <t>Add - Additional Affordable Units</t>
  </si>
  <si>
    <t>Confirms the average level of affordability</t>
  </si>
  <si>
    <t>Median Market rent (weighted avg.)</t>
  </si>
  <si>
    <t>Subject (weighted avg of affordable rents)</t>
  </si>
  <si>
    <t>Average level of Affordability</t>
  </si>
  <si>
    <t>5) Confirm that the % of units below 80% MMR and the average level of affordability indicated above is consistent with the information reflected in the Scoring Grid</t>
  </si>
  <si>
    <t>Add - Additional Market Units</t>
  </si>
  <si>
    <t>Total Square Feet (Residential)</t>
  </si>
  <si>
    <t>Total Affordable</t>
  </si>
  <si>
    <t>Total Residential Units</t>
  </si>
  <si>
    <t>Project Budget: Repair and Renewal</t>
  </si>
  <si>
    <t>Project Characteristics</t>
  </si>
  <si>
    <t>Residential
(A)</t>
  </si>
  <si>
    <t>Non-Residential
(B)</t>
  </si>
  <si>
    <t>Total 
(A + B)</t>
  </si>
  <si>
    <t>Total sq feet (Gross Floor Area estimated)</t>
  </si>
  <si>
    <t>Proportion of total</t>
  </si>
  <si>
    <t>General Guidance on Determining Residential Space</t>
  </si>
  <si>
    <t>Number of Residential units</t>
  </si>
  <si>
    <t>Residential Space</t>
  </si>
  <si>
    <t>Non-Residential Space</t>
  </si>
  <si>
    <t>Hallways</t>
  </si>
  <si>
    <t>r</t>
  </si>
  <si>
    <t>Revenue Generating</t>
  </si>
  <si>
    <t>1. Project budget</t>
  </si>
  <si>
    <t>Total Project Costs</t>
  </si>
  <si>
    <t>Per unit</t>
  </si>
  <si>
    <t>Pro-Rata Project Costs</t>
  </si>
  <si>
    <t>Elevators</t>
  </si>
  <si>
    <t>Not EXCLUSIVELY for tenants</t>
  </si>
  <si>
    <t>Land</t>
  </si>
  <si>
    <t>Mechanical Rooms</t>
  </si>
  <si>
    <t>Open to the general public</t>
  </si>
  <si>
    <t>Hard costs</t>
  </si>
  <si>
    <t>Reception Space</t>
  </si>
  <si>
    <t>General Office Space</t>
  </si>
  <si>
    <t>Soft costs</t>
  </si>
  <si>
    <t xml:space="preserve">Common areas </t>
  </si>
  <si>
    <t>Day-care</t>
  </si>
  <si>
    <t>Financing costs</t>
  </si>
  <si>
    <t>Gym/Pool</t>
  </si>
  <si>
    <t>HST (Net of Rebate, if any)</t>
  </si>
  <si>
    <t>EXCLUSIVE to tenants</t>
  </si>
  <si>
    <t>Contingency</t>
  </si>
  <si>
    <t>Other (describe)</t>
  </si>
  <si>
    <t>TEST 1</t>
  </si>
  <si>
    <t>Total Budget (Uses) (C)</t>
  </si>
  <si>
    <t>Total Funding Sources</t>
  </si>
  <si>
    <t>Comments
(If Any)</t>
  </si>
  <si>
    <t xml:space="preserve">Other Debt Financing </t>
  </si>
  <si>
    <t xml:space="preserve">                      Other Grants / Contributions </t>
  </si>
  <si>
    <t>Land Value Equity</t>
  </si>
  <si>
    <t>3) Enter the project budget, including all hard and soft costs</t>
  </si>
  <si>
    <t>Owner cash equity</t>
  </si>
  <si>
    <t>General Guidance on Eligible Project Costs</t>
  </si>
  <si>
    <t>Examples of Eligible Costs</t>
  </si>
  <si>
    <t>Examples of Non Eligible Costs</t>
  </si>
  <si>
    <t>Construction material and labour</t>
  </si>
  <si>
    <t>Fines and Penalties</t>
  </si>
  <si>
    <t>Consultant Fees</t>
  </si>
  <si>
    <t>Losses on other Projects/Investments</t>
  </si>
  <si>
    <t>Architect fees</t>
  </si>
  <si>
    <t>Furnishings (flexibilities for  Shelters/Transitional, case-by-case basis)</t>
  </si>
  <si>
    <t>Development Charge waiver</t>
  </si>
  <si>
    <t>Drawings</t>
  </si>
  <si>
    <t xml:space="preserve">Amortization </t>
  </si>
  <si>
    <t>CMHC Seed (Contribution ONLY)</t>
  </si>
  <si>
    <t>Required Professional Reports</t>
  </si>
  <si>
    <t>Total Other Sources (D)</t>
  </si>
  <si>
    <t>Insurance and Bonding</t>
  </si>
  <si>
    <t>Permits</t>
  </si>
  <si>
    <t>Forgivable Loan for Higher Performance  (E)</t>
  </si>
  <si>
    <t>Funding Required (C - D - E)</t>
  </si>
  <si>
    <t>5) Review Eligible, Required and Recommended Funding - It is important to note that this will not be calculated until you have completed the entire workbook; You will need to complete both Pro-forma tabs and then come back to this tab in order to see the Recommended Funding
​</t>
  </si>
  <si>
    <t>Additional Comments:</t>
  </si>
  <si>
    <t>Eligible Funding</t>
  </si>
  <si>
    <t>Required Funding</t>
  </si>
  <si>
    <t>Recommended Funding</t>
  </si>
  <si>
    <t>The amount recommended after a preliminary analysis, taking into consideration the eligible funding, required funding, and various other constraints</t>
  </si>
  <si>
    <t>Key Take Away</t>
  </si>
  <si>
    <t>If recommended funding &lt; required funding, you will need to find alternate (debt-free) sources to cover the funding gap</t>
  </si>
  <si>
    <t>Type of Organization</t>
  </si>
  <si>
    <t>Type of Funding</t>
  </si>
  <si>
    <t>Minimum DCR Requirements</t>
  </si>
  <si>
    <t>Funding Type: Repayable Loan</t>
  </si>
  <si>
    <t>DCR Particulars</t>
  </si>
  <si>
    <t>Calculated DCR Based on Required/Requested Funding</t>
  </si>
  <si>
    <t>Minimum DCR Requirement ( ≥)</t>
  </si>
  <si>
    <t>Residential: DCR ≥ 1.0</t>
  </si>
  <si>
    <t>Residential</t>
  </si>
  <si>
    <t>Non-Residential: DCR ≥ 1.4</t>
  </si>
  <si>
    <t>Non-Residential</t>
  </si>
  <si>
    <t>Overall Project: DCR ≥ 1.0</t>
  </si>
  <si>
    <t>Project DCR - Overall</t>
  </si>
  <si>
    <t>Funding Type: Forgivable Loan (with other project debt)</t>
  </si>
  <si>
    <t>Funding Particulars</t>
  </si>
  <si>
    <t>% of Eligible Cost</t>
  </si>
  <si>
    <t>Total Funding</t>
  </si>
  <si>
    <t>Additional Funding Required</t>
  </si>
  <si>
    <t>*Note that you need to complete both Proforma tabs before the Recommended Funding can be calculated</t>
  </si>
  <si>
    <t>Recommended Funding Breakdown</t>
  </si>
  <si>
    <t>$</t>
  </si>
  <si>
    <t>%</t>
  </si>
  <si>
    <t>Particulars</t>
  </si>
  <si>
    <t>* Please note that this if the maximum funding available, however, the amounts are not guaranteed.</t>
  </si>
  <si>
    <t>Proforma - Residential: Repair and Renewal</t>
  </si>
  <si>
    <t>1)  Recall that only yellow cells need to be input. Grey cells are automatically calculated or carried over from another tab</t>
  </si>
  <si>
    <t xml:space="preserve">Percentage of Project Floor Space for Residential </t>
  </si>
  <si>
    <t>2)  In section 2, enter the Vacancy rate from the Housing Market Information Portal</t>
  </si>
  <si>
    <t>Number of Residential Units</t>
  </si>
  <si>
    <t>Per Unit</t>
  </si>
  <si>
    <t>New Rental</t>
  </si>
  <si>
    <t>Comments 
(If Any)</t>
  </si>
  <si>
    <t>Select your location by choosing the appropriate Country, Province, City/Town and Zone</t>
  </si>
  <si>
    <t>Click on "Full view" - In the tables on the left panel, select "Primary Rental Market"  and "Vacancy Rate (%)"</t>
  </si>
  <si>
    <t xml:space="preserve">HST </t>
  </si>
  <si>
    <t>3)  In sections 3 and 4, enter any additional project income, such as income from parking, lockers or laundry, as well as annual operating funding</t>
  </si>
  <si>
    <t>4)  In section 5 enter the estimated operating costs for the project</t>
  </si>
  <si>
    <t>5)  In section 6 enter the details of your project debt and existing property value as prompted</t>
  </si>
  <si>
    <t>Total Budget (Uses)</t>
  </si>
  <si>
    <t>Pro-rata Cost * Max funding</t>
  </si>
  <si>
    <t>2. Rental Income</t>
  </si>
  <si>
    <t>Potential Gross Income (Total rental income)</t>
  </si>
  <si>
    <t>Vacancy rate /bad debt</t>
  </si>
  <si>
    <t>Less: Vacancy rate /bad debt</t>
  </si>
  <si>
    <t>Effective Residential Gross Income</t>
  </si>
  <si>
    <t>3. Ancillary Income</t>
  </si>
  <si>
    <t># Units</t>
  </si>
  <si>
    <t>Rent</t>
  </si>
  <si>
    <t>Parking (monthly)</t>
  </si>
  <si>
    <t>Storage lockers (monthly)</t>
  </si>
  <si>
    <t>Laundry (annually)</t>
  </si>
  <si>
    <t>Vacancy rate /bad debt (%)</t>
  </si>
  <si>
    <t xml:space="preserve">Effective Ancillary Gross Income </t>
  </si>
  <si>
    <t>4. Other income (supported by a written letter/agreement)</t>
  </si>
  <si>
    <t>Operational Funding (Municipal, Provincial / Territorial, Federal)</t>
  </si>
  <si>
    <t>Other Effective Gross Income</t>
  </si>
  <si>
    <t>Total Effective Gross Income</t>
  </si>
  <si>
    <t>5. Operating Costs</t>
  </si>
  <si>
    <t>Per Unit/Yr</t>
  </si>
  <si>
    <t>Realty / Property Taxes</t>
  </si>
  <si>
    <t>Insurance</t>
  </si>
  <si>
    <t>Heat</t>
  </si>
  <si>
    <t>Hydro</t>
  </si>
  <si>
    <t>Water</t>
  </si>
  <si>
    <t>Total Utilities</t>
  </si>
  <si>
    <t>Repair and Maintenance</t>
  </si>
  <si>
    <t>Wages- Super</t>
  </si>
  <si>
    <t>Replacement Reserve (Mandatory requirement)</t>
  </si>
  <si>
    <t>Management Fee (% of Total Effective Gross Income)</t>
  </si>
  <si>
    <t>General and Admin (% of Total Effective Gross Income)</t>
  </si>
  <si>
    <t>Total Operating Costs</t>
  </si>
  <si>
    <t>Operating Expense Ratio</t>
  </si>
  <si>
    <t>Net Operating Income (NOI)</t>
  </si>
  <si>
    <t>6. Project Debt &amp; Financial Viability</t>
  </si>
  <si>
    <t>CMHC Qualifying Rate (contact your CMHC Specialist to obtain more information about our lending rates)</t>
  </si>
  <si>
    <t xml:space="preserve"> Loan Amortization ( years) - MX 40 years</t>
  </si>
  <si>
    <t>Property Lending Value: From Appraisal Report ("as-improved" value) or latest Municipal Property Value Assessment</t>
  </si>
  <si>
    <t>TOTAL Other Debt Mortgage Payment (annually) P+I</t>
  </si>
  <si>
    <t>Amortization (yrs)</t>
  </si>
  <si>
    <t>Years remaining</t>
  </si>
  <si>
    <t>Interest Rate</t>
  </si>
  <si>
    <t>Max Loan that the project can support ( DCR&gt;1)</t>
  </si>
  <si>
    <t>Minimum DCR</t>
  </si>
  <si>
    <t>Mortgage Payment (monthly) P+I</t>
  </si>
  <si>
    <t>Mortgage Payment (annually) P+I</t>
  </si>
  <si>
    <t>Additional Required funding  (Can additional Loan be supported by Non-Residential ?)</t>
  </si>
  <si>
    <t>Project Cost - Residential</t>
  </si>
  <si>
    <t>Proforma - Non-Residential: Repair and Renewal</t>
  </si>
  <si>
    <t>1)  Recall that only yellow cells need to be input. Grey cells are automatically calculated or carried over from another tab.</t>
  </si>
  <si>
    <t xml:space="preserve">Percentage of Project Floor Space for Non-Residential </t>
  </si>
  <si>
    <t>2)  In section 2, for each non-residential/commercial space, enter the square footage, the number of units, and monthly rent</t>
  </si>
  <si>
    <t>3)  In section 3, enter the expected operating costs for the non-residential units</t>
  </si>
  <si>
    <t>1. Project budget - Non-Residential portion</t>
  </si>
  <si>
    <t>Provide a description of what the space is used for</t>
  </si>
  <si>
    <t>Comment on whether you have a lease in place</t>
  </si>
  <si>
    <t>Misc. and Buffer</t>
  </si>
  <si>
    <t xml:space="preserve">Maximum Loan Amount at 75% of costs </t>
  </si>
  <si>
    <t>Loan Still Required</t>
  </si>
  <si>
    <t>2. Non-Residential / Commercial</t>
  </si>
  <si>
    <t>Size (sf)</t>
  </si>
  <si>
    <t>Monthly Rent</t>
  </si>
  <si>
    <t xml:space="preserve">Annual </t>
  </si>
  <si>
    <t>Retail/Office 1</t>
  </si>
  <si>
    <t>Retail/Office 2</t>
  </si>
  <si>
    <t>Retail/Office 3</t>
  </si>
  <si>
    <t>Retail/Office 4</t>
  </si>
  <si>
    <t>Retail/Office 5</t>
  </si>
  <si>
    <t>Retail/Office 6</t>
  </si>
  <si>
    <t>Add: Recoveries</t>
  </si>
  <si>
    <t>Effective Gross Income</t>
  </si>
  <si>
    <t>3. Operating Costs</t>
  </si>
  <si>
    <t xml:space="preserve">   Heat</t>
  </si>
  <si>
    <t xml:space="preserve">   Hydro</t>
  </si>
  <si>
    <t xml:space="preserve">   Water</t>
  </si>
  <si>
    <t>Management Fee (% of Effective Gross Income)</t>
  </si>
  <si>
    <t>General and Admin (%of Effective Gross Income)</t>
  </si>
  <si>
    <t>Net Operating Income</t>
  </si>
  <si>
    <t>4. Project Debt &amp; Financial Viability</t>
  </si>
  <si>
    <t>Repayable Loan (Non-Residential component)</t>
  </si>
  <si>
    <t>Lesser of 75% LTC, 75% of LTV and Loan still required</t>
  </si>
  <si>
    <t>CMHC Qualifying Rate</t>
  </si>
  <si>
    <t>Repayable Loan Amortization ( years)</t>
  </si>
  <si>
    <t xml:space="preserve">Debt Coverage Ratio (DCR) </t>
  </si>
  <si>
    <t>Max loan at Min DCR</t>
  </si>
  <si>
    <t>Debt Coverage Ratio (DCR) - on Non-Residential loan only</t>
  </si>
  <si>
    <t>Drawdown Schedule: Repair and Renewal</t>
  </si>
  <si>
    <t>Construction Timeline</t>
  </si>
  <si>
    <t>Expected Construction Start date (MM/YYYY)</t>
  </si>
  <si>
    <t>Expected Construction End date (MM/YYYY)</t>
  </si>
  <si>
    <t>REPAYABLE LOAN</t>
  </si>
  <si>
    <t>FORGIVABLE LOAN</t>
  </si>
  <si>
    <t>Year</t>
  </si>
  <si>
    <t>Drawdown Date</t>
  </si>
  <si>
    <t>Drawdown Amount</t>
  </si>
  <si>
    <t>Available Repayable  Loan Balance</t>
  </si>
  <si>
    <t>Available Forgivable Loan Balance</t>
  </si>
  <si>
    <t>Comments:</t>
  </si>
  <si>
    <t>Scoring Grid- AHF Funding Results</t>
  </si>
  <si>
    <t>TOTAL AHF Funding</t>
  </si>
  <si>
    <t>1) Review the AHF Product Highlight Sheet (Click this link)</t>
  </si>
  <si>
    <t>4) The maximum AHF funding that your project is eligible for will be displayed under "Eligible Funding Results" at the bottom of the page</t>
  </si>
  <si>
    <t>Accessibility (Click here for detailed AHF Requirements)</t>
  </si>
  <si>
    <t>Environmental Efficiency  (Click here for detailed AHF Requirements)</t>
  </si>
  <si>
    <t>Priority Groups and Onsite Support
(See AHF Product Highlight Sheet)</t>
  </si>
  <si>
    <t>AHF Scoring Grid: Eligible Funding Components</t>
  </si>
  <si>
    <t>Understanding AHF Eligible Funding- Repayable Loan</t>
  </si>
  <si>
    <t> A portion of the total funding may be awarded as a forgivable loan for projects that go above and beyond the minimum requirements for three key AHF outcomes:</t>
  </si>
  <si>
    <t>1) Enter the gross square footage for Residential &amp; Non-Residential space (If your project has non-residential space, consult with your CMHC Specialist to determine what is accepted as residential space under AHF)</t>
  </si>
  <si>
    <t>2) Test 1 below will automatically populate once you've entered the required information -Confirm that your project is in compliance with AHF requirements for non-residential space (see Test 1 below)</t>
  </si>
  <si>
    <t>Confirm that your project is in compliance with AHF requirements for non-residential space</t>
  </si>
  <si>
    <t>AHF Minimum Requirement:</t>
  </si>
  <si>
    <t>AHF will only consider projects where  the non-residential space is less than 30% of gross floor space and less than 30% of project cost</t>
  </si>
  <si>
    <t>2. Sources of Funding (Non-AHF)</t>
  </si>
  <si>
    <t>4) Enter Non- AHF Funding Sources that have been confirmed</t>
  </si>
  <si>
    <t>Understanding your AHF Funding (Click here to view details on AHF Funding Eligibility)</t>
  </si>
  <si>
    <t xml:space="preserve"> The maximum funding that the project is eligible for as per AHF Product Highlight Sheet</t>
  </si>
  <si>
    <t>The required AHF funding that the project needs to ensure that there are enough funds to cover the budget</t>
  </si>
  <si>
    <t>(E.g. repayable loan may be capped  to ensure that AHF’s Debt Coverage Ratio (DCR) requirements are met)</t>
  </si>
  <si>
    <t>AHF Funding Results - You must complete both the Proforma-Residential and Proforma-Non-Residential (if applicable) tabs before reviewing this section.</t>
  </si>
  <si>
    <t xml:space="preserve">Eligible AHF Funding </t>
  </si>
  <si>
    <t>AHF Funding Required</t>
  </si>
  <si>
    <t>AHF Recommended Funding*</t>
  </si>
  <si>
    <t>Maximum AHF Eligible Funding</t>
  </si>
  <si>
    <t>Complete Section A ONLY if funding type= AHF Repayable loan</t>
  </si>
  <si>
    <t>Section A: AHF Debt</t>
  </si>
  <si>
    <t>AHF Repayable Loan (ie. lesser of max funding OR Loan Requested / Required)</t>
  </si>
  <si>
    <t xml:space="preserve">AHF  Loan Mortgage Payment (monthly) P+I </t>
  </si>
  <si>
    <t>AHF  Loan Mortgage Payment (annually) P+I</t>
  </si>
  <si>
    <t>Existing Debt to remain in Priority to AHF Loan</t>
  </si>
  <si>
    <t>Maximum AHF Loan at 85% LTV (combined with any Existing Debt)</t>
  </si>
  <si>
    <t>Complete Section B  if funding type= AHF Repayable loan OR AHF Forgivable Loan; AND your project has other non-AHF debt</t>
  </si>
  <si>
    <t>Section B: Other Project Debt (to remain after AHF)</t>
  </si>
  <si>
    <t>Section C: AHF Financial Viability</t>
  </si>
  <si>
    <t>Total Mortgage payments (AHF loan + Other)</t>
  </si>
  <si>
    <t xml:space="preserve">Debt Coverage Ratio (DCR) - AHF Repayable Loan Requested / Required  </t>
  </si>
  <si>
    <t>Test: Can AHF Repayable loan required be supported? (DCR ≥ 1.00)</t>
  </si>
  <si>
    <t>Recommended AHF Repayable Loan - Residential Portion</t>
  </si>
  <si>
    <t>Debt Coverage Ratio (DCR) - Recommended AHF Repayable Loan (Excluding Other Debt Payments)</t>
  </si>
  <si>
    <t>Loan - Maximum AHF repayable loan (Residential portion)</t>
  </si>
  <si>
    <t>AHF Loan to Cost (LTC) - Residential</t>
  </si>
  <si>
    <t>Affordable Housing Fund (AHF) Prioritization Scoring: Repair and Renewal</t>
  </si>
  <si>
    <t>AHF Repayable Funding</t>
  </si>
  <si>
    <t>When do you anticipate needing AHF funds (MM/YYYY)</t>
  </si>
  <si>
    <t>AHF Forgivable Funding</t>
  </si>
  <si>
    <t>Affordable Housing Fund</t>
  </si>
  <si>
    <t>The Financial Viability Assessment Calculator and Scoring Grid is protected by copyright and is subject to the protection of intellectual property laws. Users are authorized to download the assessment tool for its use in relation to the Affordable Housing Fund only and may not further copy, reproduce, modify or distribute the assessment tool without the prior written consent of CMHC.</t>
  </si>
  <si>
    <t>Review the AHF Product Highlight Sheet</t>
  </si>
  <si>
    <t>Review the AHF Funding Eligibility document</t>
  </si>
  <si>
    <t>3) For affordable units, enter the Median Market Rent (MMR) from the HMI Portal-Note that For a unit to qualify as affordable under AHF  the rent must be below 80% of the MMR</t>
  </si>
  <si>
    <t>4) Test 1 and 2 below will automatically populate once you've entered the required information-Confirm that your project meets AHF's minimum requirements for affordability (See Test 1 &amp; Test 2 below)</t>
  </si>
  <si>
    <t xml:space="preserve"> The minimum requirement to be eligible for AHF funding is 30%</t>
  </si>
  <si>
    <t>To be eligible for AHF funding, this must be below 80%</t>
  </si>
  <si>
    <t>Note: This is applicable only if AHF Loan is requested</t>
  </si>
  <si>
    <t>Test: Can AHF Repayable loan required be supported? (DCR  ≥ 1.40)</t>
  </si>
  <si>
    <t>Recommended AHF Repayable Loan - Non-Residential Portion</t>
  </si>
  <si>
    <t>Maximum AHF Loan at 75% LTV (combined with any Existing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</si>
</sst>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4" formatCode="_-&quot;$&quot;* #,##0.00_-;\-&quot;$&quot;* #,##0.00_-;_-&quot;$&quot;* &quot;-&quot;??_-;_-@_-"/>
    <numFmt numFmtId="43" formatCode="_-* #,##0.00_-;\-* #,##0.00_-;_-* &quot;-&quot;??_-;_-@_-"/>
    <numFmt numFmtId="164" formatCode="_-* #,##0_-;\-* #,##0_-;_-* &quot;-&quot;??_-;_-@_-"/>
    <numFmt numFmtId="165" formatCode="0.0%"/>
    <numFmt numFmtId="166" formatCode="_-* #,##0.00\ _$_-;_-* #,##0.00\ _$\-;_-* &quot;-&quot;??\ _$_-;_-@_-"/>
    <numFmt numFmtId="167" formatCode="_-&quot;$&quot;* #,##0_-;\-&quot;$&quot;* #,##0_-;_-&quot;$&quot;* &quot;-&quot;??_-;_-@_-"/>
    <numFmt numFmtId="168" formatCode="0.000%"/>
    <numFmt numFmtId="169" formatCode="[$-409]mmmm\ d\,\ yyyy;@"/>
    <numFmt numFmtId="170" formatCode="_-* #,##0.00000_-;\-* #,##0.00000_-;_-* &quot;-&quot;??_-;_-@_-"/>
    <numFmt numFmtId="171" formatCode="[$-1009]d\-mmm\-yy;@"/>
    <numFmt numFmtId="172" formatCode="_-&quot;$&quot;* #,##0.0_-;\-&quot;$&quot;* #,##0.0_-;_-&quot;$&quot;* &quot;-&quot;??_-;_-@_-"/>
    <numFmt numFmtId="173" formatCode="[$-1009]mmmm\ d\,\ yyyy;@"/>
    <numFmt numFmtId="174" formatCode="_-&quot;$&quot;* #,##0.0000_-;\-&quot;$&quot;* #,##0.0000_-;_-&quot;$&quot;* &quot;-&quot;??_-;_-@_-"/>
  </numFmts>
  <fonts count="6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theme="9" tint="0.79998168889431442"/>
      <name val="Calibri"/>
      <family val="2"/>
      <scheme val="minor"/>
    </font>
    <font>
      <u/>
      <sz val="11"/>
      <color theme="1"/>
      <name val="Calibri"/>
      <family val="2"/>
      <scheme val="minor"/>
    </font>
    <font>
      <u val="singleAccounting"/>
      <sz val="11"/>
      <color theme="1"/>
      <name val="Calibri"/>
      <family val="2"/>
      <scheme val="minor"/>
    </font>
    <font>
      <sz val="11"/>
      <name val="Calibri"/>
      <family val="2"/>
      <scheme val="minor"/>
    </font>
    <font>
      <sz val="10"/>
      <name val="Arial"/>
      <family val="2"/>
    </font>
    <font>
      <b/>
      <sz val="11"/>
      <name val="Calibri"/>
      <family val="2"/>
      <scheme val="minor"/>
    </font>
    <font>
      <b/>
      <u val="singleAccounting"/>
      <sz val="11"/>
      <color theme="1"/>
      <name val="Calibri"/>
      <family val="2"/>
      <scheme val="minor"/>
    </font>
    <font>
      <b/>
      <sz val="11"/>
      <color rgb="FF7030A0"/>
      <name val="Calibri"/>
      <family val="2"/>
      <scheme val="minor"/>
    </font>
    <font>
      <b/>
      <u/>
      <sz val="11"/>
      <color theme="1"/>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u val="singleAccounting"/>
      <sz val="9"/>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val="singleAccounting"/>
      <sz val="14"/>
      <color theme="1"/>
      <name val="Calibri"/>
      <family val="2"/>
      <scheme val="minor"/>
    </font>
    <font>
      <sz val="12"/>
      <color theme="1"/>
      <name val="Calibri"/>
      <family val="2"/>
      <scheme val="minor"/>
    </font>
    <font>
      <sz val="12"/>
      <name val="Calibri"/>
      <family val="2"/>
      <scheme val="minor"/>
    </font>
    <font>
      <b/>
      <sz val="10"/>
      <color theme="1"/>
      <name val="Calibri"/>
      <family val="2"/>
      <scheme val="minor"/>
    </font>
    <font>
      <b/>
      <sz val="9"/>
      <name val="Calibri"/>
      <family val="2"/>
      <scheme val="minor"/>
    </font>
    <font>
      <sz val="10"/>
      <color theme="1"/>
      <name val="Calibri"/>
      <family val="2"/>
      <scheme val="minor"/>
    </font>
    <font>
      <b/>
      <sz val="10"/>
      <name val="Calibri"/>
      <family val="2"/>
      <scheme val="minor"/>
    </font>
    <font>
      <sz val="9"/>
      <color indexed="81"/>
      <name val="Tahoma"/>
      <family val="2"/>
    </font>
    <font>
      <b/>
      <sz val="9"/>
      <color indexed="81"/>
      <name val="Tahoma"/>
      <family val="2"/>
    </font>
    <font>
      <sz val="11"/>
      <color theme="0"/>
      <name val="Calibri"/>
      <family val="2"/>
      <scheme val="minor"/>
    </font>
    <font>
      <i/>
      <sz val="11"/>
      <color theme="1"/>
      <name val="Calibri"/>
      <family val="2"/>
      <scheme val="minor"/>
    </font>
    <font>
      <b/>
      <sz val="11"/>
      <color rgb="FFFF0000"/>
      <name val="Calibri"/>
      <family val="2"/>
      <scheme val="minor"/>
    </font>
    <font>
      <sz val="11"/>
      <color theme="9" tint="0.39997558519241921"/>
      <name val="Calibri"/>
      <family val="2"/>
      <scheme val="minor"/>
    </font>
    <font>
      <b/>
      <u val="singleAccounting"/>
      <sz val="9"/>
      <color theme="1"/>
      <name val="Calibri"/>
      <family val="2"/>
      <scheme val="minor"/>
    </font>
    <font>
      <b/>
      <sz val="18"/>
      <color theme="1"/>
      <name val="Calibri"/>
      <family val="2"/>
      <scheme val="minor"/>
    </font>
    <font>
      <sz val="20"/>
      <color theme="1"/>
      <name val="Wingdings 3"/>
      <family val="1"/>
      <charset val="2"/>
    </font>
    <font>
      <sz val="16"/>
      <color theme="1"/>
      <name val="Calibri"/>
      <family val="2"/>
      <scheme val="minor"/>
    </font>
    <font>
      <b/>
      <sz val="16"/>
      <color theme="1"/>
      <name val="Calibri"/>
      <family val="2"/>
      <scheme val="minor"/>
    </font>
    <font>
      <b/>
      <u/>
      <sz val="12"/>
      <color theme="1"/>
      <name val="Calibri"/>
      <family val="2"/>
      <scheme val="minor"/>
    </font>
    <font>
      <u/>
      <sz val="12"/>
      <color theme="1"/>
      <name val="Calibri"/>
      <family val="2"/>
      <scheme val="minor"/>
    </font>
    <font>
      <i/>
      <sz val="12"/>
      <color theme="1"/>
      <name val="Calibri"/>
      <family val="2"/>
      <scheme val="minor"/>
    </font>
    <font>
      <b/>
      <sz val="22"/>
      <color theme="9" tint="-0.249977111117893"/>
      <name val="Calibri"/>
      <family val="2"/>
      <scheme val="minor"/>
    </font>
    <font>
      <sz val="16"/>
      <color theme="9" tint="-0.249977111117893"/>
      <name val="Calibri"/>
      <family val="2"/>
      <scheme val="minor"/>
    </font>
    <font>
      <sz val="14"/>
      <color theme="1"/>
      <name val="Webdings"/>
      <family val="1"/>
      <charset val="2"/>
    </font>
    <font>
      <u/>
      <sz val="14"/>
      <color theme="10"/>
      <name val="Calibri"/>
      <family val="2"/>
      <scheme val="minor"/>
    </font>
    <font>
      <b/>
      <sz val="20"/>
      <color theme="9" tint="-0.249977111117893"/>
      <name val="Calibri"/>
      <family val="2"/>
      <scheme val="minor"/>
    </font>
    <font>
      <b/>
      <sz val="14"/>
      <color theme="1"/>
      <name val="Calibri"/>
      <family val="2"/>
    </font>
    <font>
      <b/>
      <sz val="9.9"/>
      <color rgb="FFC00000"/>
      <name val="Calibri"/>
      <family val="2"/>
    </font>
    <font>
      <b/>
      <sz val="11"/>
      <color rgb="FFC00000"/>
      <name val="Calibri"/>
      <family val="2"/>
      <scheme val="minor"/>
    </font>
    <font>
      <b/>
      <sz val="20"/>
      <color rgb="FFC00000"/>
      <name val="Calibri"/>
      <family val="2"/>
      <scheme val="minor"/>
    </font>
    <font>
      <b/>
      <sz val="14"/>
      <name val="Calibri"/>
      <family val="2"/>
      <scheme val="minor"/>
    </font>
    <font>
      <sz val="14"/>
      <color rgb="FF262626"/>
      <name val="Calibri"/>
      <family val="2"/>
      <scheme val="minor"/>
    </font>
    <font>
      <b/>
      <u val="singleAccounting"/>
      <sz val="14"/>
      <color theme="1"/>
      <name val="Calibri"/>
      <family val="2"/>
      <scheme val="minor"/>
    </font>
    <font>
      <b/>
      <sz val="14"/>
      <color rgb="FFC00000"/>
      <name val="Calibri"/>
      <family val="2"/>
      <scheme val="minor"/>
    </font>
    <font>
      <b/>
      <u/>
      <sz val="14"/>
      <color theme="1"/>
      <name val="Calibri"/>
      <family val="2"/>
      <scheme val="minor"/>
    </font>
    <font>
      <sz val="18"/>
      <color theme="1"/>
      <name val="Calibri"/>
      <family val="2"/>
      <scheme val="minor"/>
    </font>
    <font>
      <sz val="14"/>
      <color rgb="FFC00000"/>
      <name val="Calibri"/>
      <family val="2"/>
      <scheme val="minor"/>
    </font>
    <font>
      <sz val="14"/>
      <color rgb="FF000000"/>
      <name val="Calibri"/>
      <family val="2"/>
      <scheme val="minor"/>
    </font>
    <font>
      <sz val="11"/>
      <color indexed="81"/>
      <name val="Tahoma"/>
      <family val="2"/>
    </font>
    <font>
      <i/>
      <sz val="14"/>
      <color theme="1"/>
      <name val="Calibri"/>
      <family val="2"/>
      <scheme val="minor"/>
    </font>
    <font>
      <sz val="11"/>
      <color rgb="FF000000"/>
      <name val="Calibri"/>
      <family val="2"/>
    </font>
  </fonts>
  <fills count="22">
    <fill>
      <patternFill patternType="none"/>
    </fill>
    <fill>
      <patternFill patternType="gray125"/>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bgColor indexed="64"/>
      </patternFill>
    </fill>
    <fill>
      <patternFill patternType="solid">
        <fgColor rgb="FFC00000"/>
        <bgColor indexed="64"/>
      </patternFill>
    </fill>
    <fill>
      <patternFill patternType="solid">
        <fgColor theme="5" tint="0.79998168889431442"/>
        <bgColor indexed="64"/>
      </patternFill>
    </fill>
    <fill>
      <patternFill patternType="solid">
        <fgColor rgb="FFFFFF66"/>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rgb="FFFF5050"/>
        <bgColor indexed="64"/>
      </patternFill>
    </fill>
    <fill>
      <patternFill patternType="solid">
        <fgColor rgb="FFFFFF00"/>
        <bgColor indexed="64"/>
      </patternFill>
    </fill>
    <fill>
      <patternFill patternType="solid">
        <fgColor rgb="FFFFFFFF"/>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6" fontId="8"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cellStyleXfs>
  <cellXfs count="772">
    <xf numFmtId="0" fontId="0" fillId="0" borderId="0" xfId="0"/>
    <xf numFmtId="0" fontId="0" fillId="3" borderId="0" xfId="0" applyFill="1"/>
    <xf numFmtId="164" fontId="0" fillId="0" borderId="0" xfId="1" applyNumberFormat="1" applyFont="1" applyFill="1" applyBorder="1"/>
    <xf numFmtId="164" fontId="0" fillId="0" borderId="0" xfId="1" applyNumberFormat="1" applyFont="1"/>
    <xf numFmtId="164" fontId="0" fillId="0" borderId="0" xfId="1" applyNumberFormat="1" applyFont="1" applyFill="1"/>
    <xf numFmtId="0" fontId="4" fillId="0" borderId="0" xfId="0" applyFont="1"/>
    <xf numFmtId="164" fontId="0" fillId="0" borderId="0" xfId="1" applyNumberFormat="1" applyFont="1" applyBorder="1"/>
    <xf numFmtId="164" fontId="3" fillId="0" borderId="0" xfId="1" applyNumberFormat="1" applyFont="1"/>
    <xf numFmtId="164" fontId="3" fillId="0" borderId="0" xfId="1" applyNumberFormat="1" applyFont="1" applyBorder="1"/>
    <xf numFmtId="164" fontId="1" fillId="0" borderId="0" xfId="1" applyNumberFormat="1" applyFont="1" applyFill="1" applyBorder="1" applyAlignment="1">
      <alignment horizontal="right"/>
    </xf>
    <xf numFmtId="164" fontId="1" fillId="0" borderId="0" xfId="1" applyNumberFormat="1" applyFont="1" applyFill="1" applyBorder="1"/>
    <xf numFmtId="164" fontId="0" fillId="0" borderId="0" xfId="1" applyNumberFormat="1" applyFont="1" applyFill="1" applyBorder="1" applyAlignment="1">
      <alignment horizontal="right"/>
    </xf>
    <xf numFmtId="164" fontId="6" fillId="0" borderId="0" xfId="1" applyNumberFormat="1" applyFont="1" applyBorder="1"/>
    <xf numFmtId="164" fontId="0" fillId="0" borderId="0" xfId="0" applyNumberFormat="1"/>
    <xf numFmtId="164" fontId="1" fillId="0" borderId="0" xfId="1" applyNumberFormat="1" applyFont="1" applyBorder="1"/>
    <xf numFmtId="164" fontId="1" fillId="0" borderId="0" xfId="1" applyNumberFormat="1" applyFont="1"/>
    <xf numFmtId="9" fontId="1" fillId="0" borderId="0" xfId="2" applyFont="1" applyBorder="1"/>
    <xf numFmtId="165" fontId="0" fillId="0" borderId="0" xfId="2" applyNumberFormat="1" applyFont="1" applyBorder="1"/>
    <xf numFmtId="164" fontId="3" fillId="0" borderId="0" xfId="1" applyNumberFormat="1" applyFont="1" applyFill="1" applyBorder="1" applyAlignment="1">
      <alignment horizontal="left"/>
    </xf>
    <xf numFmtId="10" fontId="0" fillId="0" borderId="0" xfId="2" applyNumberFormat="1" applyFont="1" applyBorder="1"/>
    <xf numFmtId="43" fontId="0" fillId="0" borderId="0" xfId="1" applyFont="1" applyBorder="1"/>
    <xf numFmtId="9" fontId="0" fillId="0" borderId="0" xfId="2" applyFont="1" applyFill="1" applyBorder="1" applyAlignment="1">
      <alignment horizontal="right"/>
    </xf>
    <xf numFmtId="43" fontId="0" fillId="0" borderId="0" xfId="1" applyFont="1" applyFill="1" applyBorder="1" applyAlignment="1">
      <alignment horizontal="right"/>
    </xf>
    <xf numFmtId="0" fontId="0" fillId="0" borderId="0" xfId="0" applyAlignment="1">
      <alignment horizontal="center"/>
    </xf>
    <xf numFmtId="0" fontId="0" fillId="7" borderId="0" xfId="0" applyFill="1"/>
    <xf numFmtId="9" fontId="1" fillId="0" borderId="0" xfId="2" applyFont="1" applyFill="1" applyBorder="1" applyProtection="1"/>
    <xf numFmtId="164" fontId="7" fillId="0" borderId="0" xfId="1" applyNumberFormat="1" applyFont="1" applyBorder="1"/>
    <xf numFmtId="164" fontId="3" fillId="0" borderId="0" xfId="1" applyNumberFormat="1" applyFont="1" applyFill="1" applyBorder="1"/>
    <xf numFmtId="164" fontId="1" fillId="0" borderId="0" xfId="1" applyNumberFormat="1" applyFont="1" applyFill="1" applyBorder="1" applyAlignment="1">
      <alignment horizontal="center"/>
    </xf>
    <xf numFmtId="164" fontId="2" fillId="0" borderId="0" xfId="1" applyNumberFormat="1" applyFont="1" applyFill="1" applyBorder="1"/>
    <xf numFmtId="10" fontId="0" fillId="6" borderId="4" xfId="2" applyNumberFormat="1" applyFont="1" applyFill="1" applyBorder="1"/>
    <xf numFmtId="164" fontId="7" fillId="0" borderId="0" xfId="1" applyNumberFormat="1" applyFont="1"/>
    <xf numFmtId="0" fontId="7" fillId="0" borderId="0" xfId="0" applyFont="1"/>
    <xf numFmtId="0" fontId="3" fillId="0" borderId="0" xfId="0" applyFont="1"/>
    <xf numFmtId="164" fontId="7" fillId="0" borderId="0" xfId="1" applyNumberFormat="1" applyFont="1" applyFill="1" applyBorder="1"/>
    <xf numFmtId="165" fontId="0" fillId="0" borderId="0" xfId="2" applyNumberFormat="1" applyFont="1" applyFill="1" applyBorder="1"/>
    <xf numFmtId="164" fontId="3" fillId="4" borderId="0" xfId="1" applyNumberFormat="1" applyFont="1" applyFill="1" applyBorder="1" applyAlignment="1">
      <alignment horizontal="right"/>
    </xf>
    <xf numFmtId="164" fontId="0" fillId="7" borderId="0" xfId="1" applyNumberFormat="1" applyFont="1" applyFill="1" applyBorder="1" applyProtection="1">
      <protection locked="0"/>
    </xf>
    <xf numFmtId="164" fontId="17" fillId="4" borderId="0" xfId="1" applyNumberFormat="1" applyFont="1" applyFill="1" applyBorder="1"/>
    <xf numFmtId="164" fontId="14" fillId="0" borderId="0" xfId="1" applyNumberFormat="1" applyFont="1" applyBorder="1"/>
    <xf numFmtId="164" fontId="22" fillId="0" borderId="0" xfId="1" applyNumberFormat="1" applyFont="1" applyBorder="1"/>
    <xf numFmtId="164" fontId="0" fillId="5" borderId="8" xfId="1" applyNumberFormat="1" applyFont="1" applyFill="1" applyBorder="1"/>
    <xf numFmtId="164" fontId="0" fillId="11" borderId="0" xfId="1" applyNumberFormat="1" applyFont="1" applyFill="1"/>
    <xf numFmtId="164" fontId="0" fillId="0" borderId="0" xfId="1" applyNumberFormat="1" applyFont="1" applyFill="1" applyBorder="1" applyAlignment="1">
      <alignment horizontal="center" wrapText="1"/>
    </xf>
    <xf numFmtId="164" fontId="6" fillId="0" borderId="0" xfId="1" applyNumberFormat="1" applyFont="1" applyFill="1" applyBorder="1"/>
    <xf numFmtId="164" fontId="3" fillId="0" borderId="0" xfId="1" applyNumberFormat="1" applyFont="1" applyFill="1" applyBorder="1" applyAlignment="1"/>
    <xf numFmtId="164" fontId="0" fillId="12" borderId="0" xfId="1" applyNumberFormat="1" applyFont="1" applyFill="1"/>
    <xf numFmtId="164" fontId="13" fillId="0" borderId="0" xfId="1" applyNumberFormat="1" applyFont="1"/>
    <xf numFmtId="164" fontId="13" fillId="0" borderId="0" xfId="1" applyNumberFormat="1" applyFont="1" applyFill="1" applyBorder="1" applyAlignment="1">
      <alignment horizontal="center"/>
    </xf>
    <xf numFmtId="164" fontId="24" fillId="2" borderId="0" xfId="1" applyNumberFormat="1" applyFont="1" applyFill="1" applyBorder="1" applyAlignment="1">
      <alignment horizontal="center"/>
    </xf>
    <xf numFmtId="164" fontId="13" fillId="0" borderId="0" xfId="1" applyNumberFormat="1" applyFont="1" applyBorder="1" applyAlignment="1">
      <alignment horizontal="center"/>
    </xf>
    <xf numFmtId="164" fontId="25" fillId="0" borderId="8" xfId="1" applyNumberFormat="1" applyFont="1" applyBorder="1"/>
    <xf numFmtId="164" fontId="25" fillId="9" borderId="8" xfId="1" applyNumberFormat="1" applyFont="1" applyFill="1" applyBorder="1"/>
    <xf numFmtId="0" fontId="15" fillId="0" borderId="0" xfId="1" applyNumberFormat="1" applyFont="1" applyBorder="1" applyAlignment="1">
      <alignment horizontal="left" vertical="center"/>
    </xf>
    <xf numFmtId="164" fontId="11" fillId="0" borderId="0" xfId="1" applyNumberFormat="1" applyFont="1" applyFill="1"/>
    <xf numFmtId="164" fontId="23" fillId="0" borderId="0" xfId="1" applyNumberFormat="1" applyFont="1" applyBorder="1"/>
    <xf numFmtId="164" fontId="3" fillId="4" borderId="0" xfId="1" applyNumberFormat="1" applyFont="1" applyFill="1" applyBorder="1" applyAlignment="1">
      <alignment horizontal="right" vertical="center"/>
    </xf>
    <xf numFmtId="0" fontId="24" fillId="0" borderId="0" xfId="1" applyNumberFormat="1" applyFont="1" applyBorder="1" applyAlignment="1">
      <alignment horizontal="left" vertical="center"/>
    </xf>
    <xf numFmtId="0" fontId="24" fillId="0" borderId="0" xfId="1" applyNumberFormat="1" applyFont="1" applyFill="1" applyBorder="1" applyAlignment="1">
      <alignment horizontal="left" vertical="center"/>
    </xf>
    <xf numFmtId="164" fontId="0" fillId="0" borderId="0" xfId="1" applyNumberFormat="1" applyFont="1" applyBorder="1" applyProtection="1">
      <protection locked="0"/>
    </xf>
    <xf numFmtId="164" fontId="22" fillId="0" borderId="0" xfId="1" applyNumberFormat="1" applyFont="1" applyBorder="1" applyProtection="1">
      <protection locked="0"/>
    </xf>
    <xf numFmtId="164" fontId="0" fillId="5" borderId="8" xfId="1" applyNumberFormat="1" applyFont="1" applyFill="1" applyBorder="1" applyProtection="1"/>
    <xf numFmtId="0" fontId="25" fillId="0" borderId="0" xfId="0" applyFont="1"/>
    <xf numFmtId="0" fontId="0" fillId="0" borderId="10" xfId="0" applyBorder="1"/>
    <xf numFmtId="0" fontId="4" fillId="0" borderId="10" xfId="0" applyFont="1" applyBorder="1"/>
    <xf numFmtId="0" fontId="0" fillId="0" borderId="26" xfId="0" applyBorder="1"/>
    <xf numFmtId="0" fontId="0" fillId="0" borderId="28" xfId="0" applyBorder="1" applyAlignment="1">
      <alignment horizontal="left" indent="4"/>
    </xf>
    <xf numFmtId="0" fontId="0" fillId="0" borderId="29" xfId="0" applyBorder="1" applyAlignment="1">
      <alignment horizontal="left" indent="4"/>
    </xf>
    <xf numFmtId="0" fontId="0" fillId="0" borderId="30" xfId="0" applyBorder="1"/>
    <xf numFmtId="0" fontId="0" fillId="0" borderId="31" xfId="0" applyBorder="1"/>
    <xf numFmtId="0" fontId="0" fillId="0" borderId="32" xfId="0" applyBorder="1"/>
    <xf numFmtId="164" fontId="0" fillId="4" borderId="30" xfId="0" applyNumberFormat="1" applyFill="1" applyBorder="1"/>
    <xf numFmtId="0" fontId="0" fillId="0" borderId="2" xfId="0" applyBorder="1"/>
    <xf numFmtId="0" fontId="4" fillId="0" borderId="2" xfId="0" applyFont="1" applyBorder="1"/>
    <xf numFmtId="9" fontId="0" fillId="4" borderId="3" xfId="0" applyNumberFormat="1" applyFill="1" applyBorder="1"/>
    <xf numFmtId="164" fontId="3" fillId="4" borderId="26" xfId="1" applyNumberFormat="1" applyFont="1" applyFill="1" applyBorder="1"/>
    <xf numFmtId="164" fontId="3" fillId="4" borderId="26" xfId="1" applyNumberFormat="1" applyFont="1" applyFill="1" applyBorder="1" applyAlignment="1">
      <alignment horizontal="right"/>
    </xf>
    <xf numFmtId="0" fontId="3" fillId="10" borderId="26" xfId="0" applyFont="1" applyFill="1" applyBorder="1" applyAlignment="1">
      <alignment horizontal="center"/>
    </xf>
    <xf numFmtId="164" fontId="3" fillId="0" borderId="0" xfId="0" applyNumberFormat="1" applyFont="1"/>
    <xf numFmtId="164" fontId="3" fillId="0" borderId="33" xfId="1" applyNumberFormat="1" applyFont="1" applyBorder="1"/>
    <xf numFmtId="164" fontId="3" fillId="0" borderId="0" xfId="1" applyNumberFormat="1" applyFont="1" applyBorder="1" applyAlignment="1">
      <alignment horizontal="left" indent="4"/>
    </xf>
    <xf numFmtId="164" fontId="3" fillId="0" borderId="2" xfId="1" applyNumberFormat="1" applyFont="1" applyBorder="1"/>
    <xf numFmtId="164" fontId="3" fillId="0" borderId="33" xfId="1" applyNumberFormat="1" applyFont="1" applyBorder="1" applyAlignment="1">
      <alignment horizontal="left" indent="1"/>
    </xf>
    <xf numFmtId="164" fontId="26" fillId="0" borderId="1" xfId="1" applyNumberFormat="1" applyFont="1" applyBorder="1"/>
    <xf numFmtId="0" fontId="3" fillId="14" borderId="0" xfId="0" applyFont="1" applyFill="1"/>
    <xf numFmtId="164" fontId="0" fillId="14" borderId="0" xfId="1" applyNumberFormat="1" applyFont="1" applyFill="1"/>
    <xf numFmtId="164" fontId="3" fillId="14" borderId="8" xfId="1" applyNumberFormat="1" applyFont="1" applyFill="1" applyBorder="1" applyProtection="1">
      <protection locked="0"/>
    </xf>
    <xf numFmtId="164" fontId="0" fillId="14" borderId="8" xfId="1" applyNumberFormat="1" applyFont="1" applyFill="1" applyBorder="1" applyProtection="1">
      <protection locked="0"/>
    </xf>
    <xf numFmtId="164" fontId="1" fillId="14" borderId="8" xfId="1" applyNumberFormat="1" applyFont="1" applyFill="1" applyBorder="1" applyProtection="1">
      <protection locked="0"/>
    </xf>
    <xf numFmtId="0" fontId="23" fillId="14" borderId="0" xfId="0" applyFont="1" applyFill="1"/>
    <xf numFmtId="0" fontId="25" fillId="14" borderId="0" xfId="0" applyFont="1" applyFill="1"/>
    <xf numFmtId="164" fontId="0" fillId="14" borderId="8" xfId="1" applyNumberFormat="1" applyFont="1" applyFill="1" applyBorder="1" applyAlignment="1" applyProtection="1">
      <alignment horizontal="left" indent="4"/>
      <protection locked="0"/>
    </xf>
    <xf numFmtId="0" fontId="21" fillId="14" borderId="0" xfId="0" applyFont="1" applyFill="1"/>
    <xf numFmtId="10" fontId="0" fillId="14" borderId="8" xfId="2" applyNumberFormat="1" applyFont="1" applyFill="1" applyBorder="1" applyProtection="1">
      <protection locked="0"/>
    </xf>
    <xf numFmtId="10" fontId="0" fillId="14" borderId="8" xfId="0" applyNumberFormat="1" applyFill="1" applyBorder="1" applyProtection="1">
      <protection locked="0"/>
    </xf>
    <xf numFmtId="164" fontId="0" fillId="15" borderId="0" xfId="1" applyNumberFormat="1" applyFont="1" applyFill="1"/>
    <xf numFmtId="0" fontId="0" fillId="15" borderId="0" xfId="0" applyFill="1"/>
    <xf numFmtId="0" fontId="3" fillId="15" borderId="0" xfId="0" applyFont="1" applyFill="1"/>
    <xf numFmtId="164" fontId="1" fillId="15" borderId="0" xfId="1" applyNumberFormat="1" applyFont="1" applyFill="1"/>
    <xf numFmtId="0" fontId="4" fillId="15" borderId="0" xfId="0" applyFont="1" applyFill="1"/>
    <xf numFmtId="0" fontId="4" fillId="15" borderId="26" xfId="0" applyFont="1" applyFill="1" applyBorder="1"/>
    <xf numFmtId="164" fontId="3" fillId="8" borderId="9" xfId="1" applyNumberFormat="1" applyFont="1" applyFill="1" applyBorder="1"/>
    <xf numFmtId="164" fontId="7" fillId="8" borderId="9" xfId="1" applyNumberFormat="1" applyFont="1" applyFill="1" applyBorder="1"/>
    <xf numFmtId="0" fontId="0" fillId="8" borderId="12" xfId="2" applyNumberFormat="1" applyFont="1" applyFill="1" applyBorder="1"/>
    <xf numFmtId="170" fontId="0" fillId="0" borderId="0" xfId="1" applyNumberFormat="1" applyFont="1" applyBorder="1"/>
    <xf numFmtId="164" fontId="7" fillId="8" borderId="0" xfId="1" applyNumberFormat="1" applyFont="1" applyFill="1" applyBorder="1"/>
    <xf numFmtId="165" fontId="0" fillId="8" borderId="0" xfId="2" applyNumberFormat="1" applyFont="1" applyFill="1" applyBorder="1"/>
    <xf numFmtId="167" fontId="0" fillId="14" borderId="8" xfId="4" applyNumberFormat="1" applyFont="1" applyFill="1" applyBorder="1" applyProtection="1">
      <protection locked="0"/>
    </xf>
    <xf numFmtId="164" fontId="0" fillId="14" borderId="3" xfId="0" applyNumberFormat="1" applyFill="1" applyBorder="1" applyProtection="1">
      <protection locked="0"/>
    </xf>
    <xf numFmtId="167" fontId="0" fillId="14" borderId="12" xfId="4" applyNumberFormat="1" applyFont="1" applyFill="1" applyBorder="1" applyProtection="1">
      <protection locked="0"/>
    </xf>
    <xf numFmtId="167" fontId="0" fillId="8" borderId="31" xfId="4" applyNumberFormat="1" applyFont="1" applyFill="1" applyBorder="1" applyProtection="1"/>
    <xf numFmtId="167" fontId="1" fillId="8" borderId="31" xfId="4" applyNumberFormat="1" applyFont="1" applyFill="1" applyBorder="1" applyProtection="1"/>
    <xf numFmtId="167" fontId="3" fillId="8" borderId="33" xfId="4" applyNumberFormat="1" applyFont="1" applyFill="1" applyBorder="1" applyProtection="1"/>
    <xf numFmtId="167" fontId="3" fillId="8" borderId="33" xfId="4" applyNumberFormat="1" applyFont="1" applyFill="1" applyBorder="1"/>
    <xf numFmtId="167" fontId="4" fillId="15" borderId="33" xfId="0" applyNumberFormat="1" applyFont="1" applyFill="1" applyBorder="1"/>
    <xf numFmtId="167" fontId="3" fillId="8" borderId="35" xfId="4" applyNumberFormat="1" applyFont="1" applyFill="1" applyBorder="1" applyProtection="1"/>
    <xf numFmtId="167" fontId="3" fillId="4" borderId="33" xfId="4" applyNumberFormat="1" applyFont="1" applyFill="1" applyBorder="1"/>
    <xf numFmtId="167" fontId="0" fillId="8" borderId="0" xfId="4" applyNumberFormat="1" applyFont="1" applyFill="1" applyBorder="1"/>
    <xf numFmtId="167" fontId="1" fillId="8" borderId="0" xfId="4" applyNumberFormat="1" applyFont="1" applyFill="1" applyBorder="1"/>
    <xf numFmtId="167" fontId="6" fillId="8" borderId="0" xfId="4" applyNumberFormat="1" applyFont="1" applyFill="1" applyBorder="1"/>
    <xf numFmtId="167" fontId="6" fillId="14" borderId="8" xfId="4" applyNumberFormat="1" applyFont="1" applyFill="1" applyBorder="1" applyProtection="1">
      <protection locked="0"/>
    </xf>
    <xf numFmtId="167" fontId="0" fillId="8" borderId="0" xfId="4" applyNumberFormat="1" applyFont="1" applyFill="1" applyBorder="1" applyProtection="1"/>
    <xf numFmtId="167" fontId="3" fillId="8" borderId="2" xfId="4" applyNumberFormat="1" applyFont="1" applyFill="1" applyBorder="1"/>
    <xf numFmtId="167" fontId="0" fillId="8" borderId="8" xfId="4" applyNumberFormat="1" applyFont="1" applyFill="1" applyBorder="1"/>
    <xf numFmtId="167" fontId="3" fillId="8" borderId="9" xfId="4" applyNumberFormat="1" applyFont="1" applyFill="1" applyBorder="1"/>
    <xf numFmtId="164" fontId="25" fillId="14" borderId="0" xfId="1" applyNumberFormat="1" applyFont="1" applyFill="1"/>
    <xf numFmtId="164" fontId="0" fillId="0" borderId="22" xfId="1" applyNumberFormat="1" applyFont="1" applyBorder="1"/>
    <xf numFmtId="164" fontId="0" fillId="0" borderId="24" xfId="1" applyNumberFormat="1" applyFont="1" applyBorder="1"/>
    <xf numFmtId="0" fontId="0" fillId="8" borderId="25" xfId="2" applyNumberFormat="1" applyFont="1" applyFill="1" applyBorder="1" applyAlignment="1" applyProtection="1">
      <alignment horizontal="center"/>
    </xf>
    <xf numFmtId="164" fontId="3" fillId="0" borderId="22" xfId="1" applyNumberFormat="1" applyFont="1" applyBorder="1"/>
    <xf numFmtId="167" fontId="0" fillId="8" borderId="23" xfId="4" applyNumberFormat="1" applyFont="1" applyFill="1" applyBorder="1"/>
    <xf numFmtId="164" fontId="3" fillId="0" borderId="24" xfId="1" applyNumberFormat="1" applyFont="1" applyBorder="1"/>
    <xf numFmtId="167" fontId="1" fillId="8" borderId="25" xfId="4" applyNumberFormat="1" applyFont="1" applyFill="1" applyBorder="1"/>
    <xf numFmtId="164" fontId="30" fillId="0" borderId="0" xfId="1" applyNumberFormat="1" applyFont="1" applyBorder="1"/>
    <xf numFmtId="167" fontId="0" fillId="14" borderId="32" xfId="4" applyNumberFormat="1" applyFont="1" applyFill="1" applyBorder="1" applyProtection="1">
      <protection locked="0"/>
    </xf>
    <xf numFmtId="167" fontId="0" fillId="14" borderId="3" xfId="4" applyNumberFormat="1" applyFont="1" applyFill="1" applyBorder="1" applyProtection="1">
      <protection locked="0"/>
    </xf>
    <xf numFmtId="10" fontId="3" fillId="8" borderId="31" xfId="2" applyNumberFormat="1" applyFont="1" applyFill="1" applyBorder="1" applyProtection="1"/>
    <xf numFmtId="164" fontId="21" fillId="0" borderId="33" xfId="1" applyNumberFormat="1" applyFont="1" applyBorder="1"/>
    <xf numFmtId="167" fontId="0" fillId="8" borderId="35" xfId="4" applyNumberFormat="1" applyFont="1" applyFill="1" applyBorder="1" applyProtection="1"/>
    <xf numFmtId="167" fontId="21" fillId="8" borderId="33" xfId="4" applyNumberFormat="1" applyFont="1" applyFill="1" applyBorder="1"/>
    <xf numFmtId="164" fontId="3" fillId="0" borderId="3" xfId="1" applyNumberFormat="1" applyFont="1" applyFill="1" applyBorder="1" applyAlignment="1">
      <alignment horizontal="center"/>
    </xf>
    <xf numFmtId="164" fontId="3" fillId="0" borderId="2" xfId="1" applyNumberFormat="1" applyFont="1" applyFill="1" applyBorder="1" applyAlignment="1">
      <alignment horizontal="center"/>
    </xf>
    <xf numFmtId="164" fontId="14" fillId="0" borderId="4" xfId="1" applyNumberFormat="1" applyFont="1" applyBorder="1"/>
    <xf numFmtId="164" fontId="14" fillId="0" borderId="5" xfId="1" applyNumberFormat="1" applyFont="1" applyBorder="1"/>
    <xf numFmtId="164" fontId="21" fillId="0" borderId="5" xfId="1" applyNumberFormat="1" applyFont="1" applyBorder="1"/>
    <xf numFmtId="167" fontId="14" fillId="8" borderId="36" xfId="4" applyNumberFormat="1" applyFont="1" applyFill="1" applyBorder="1"/>
    <xf numFmtId="167" fontId="0" fillId="8" borderId="27" xfId="4" applyNumberFormat="1" applyFont="1" applyFill="1" applyBorder="1" applyProtection="1"/>
    <xf numFmtId="167" fontId="0" fillId="8" borderId="28" xfId="4" applyNumberFormat="1" applyFont="1" applyFill="1" applyBorder="1" applyProtection="1"/>
    <xf numFmtId="167" fontId="1" fillId="8" borderId="28" xfId="4" applyNumberFormat="1" applyFont="1" applyFill="1" applyBorder="1" applyProtection="1"/>
    <xf numFmtId="164" fontId="3" fillId="0" borderId="0" xfId="1" applyNumberFormat="1" applyFont="1" applyFill="1" applyBorder="1" applyAlignment="1">
      <alignment horizontal="center"/>
    </xf>
    <xf numFmtId="164" fontId="0" fillId="14" borderId="12" xfId="1" applyNumberFormat="1" applyFont="1" applyFill="1" applyBorder="1" applyProtection="1">
      <protection locked="0"/>
    </xf>
    <xf numFmtId="164" fontId="3" fillId="0" borderId="2" xfId="1" applyNumberFormat="1" applyFont="1" applyBorder="1" applyAlignment="1">
      <alignment horizontal="center"/>
    </xf>
    <xf numFmtId="164" fontId="3" fillId="0" borderId="2" xfId="1" applyNumberFormat="1" applyFont="1" applyFill="1" applyBorder="1" applyAlignment="1">
      <alignment horizontal="center" wrapText="1"/>
    </xf>
    <xf numFmtId="0" fontId="3" fillId="0" borderId="33" xfId="0" applyFont="1" applyBorder="1"/>
    <xf numFmtId="167" fontId="1" fillId="8" borderId="0" xfId="4" applyNumberFormat="1" applyFont="1" applyFill="1" applyBorder="1" applyProtection="1"/>
    <xf numFmtId="10" fontId="5" fillId="14" borderId="7" xfId="0" applyNumberFormat="1" applyFont="1" applyFill="1" applyBorder="1" applyProtection="1">
      <protection locked="0"/>
    </xf>
    <xf numFmtId="164" fontId="0" fillId="8" borderId="8" xfId="1" applyNumberFormat="1" applyFont="1" applyFill="1" applyBorder="1"/>
    <xf numFmtId="164" fontId="25" fillId="0" borderId="0" xfId="1" applyNumberFormat="1" applyFont="1" applyFill="1" applyBorder="1"/>
    <xf numFmtId="164" fontId="32" fillId="15" borderId="0" xfId="1" applyNumberFormat="1" applyFont="1" applyFill="1"/>
    <xf numFmtId="164" fontId="24" fillId="0" borderId="0" xfId="1" applyNumberFormat="1" applyFont="1" applyFill="1" applyBorder="1" applyAlignment="1">
      <alignment horizontal="center"/>
    </xf>
    <xf numFmtId="164" fontId="13" fillId="0" borderId="0" xfId="1" applyNumberFormat="1" applyFont="1" applyFill="1" applyBorder="1" applyAlignment="1">
      <alignment horizontal="right"/>
    </xf>
    <xf numFmtId="164" fontId="33" fillId="0" borderId="0" xfId="1" applyNumberFormat="1" applyFont="1" applyFill="1" applyBorder="1" applyAlignment="1">
      <alignment horizontal="center"/>
    </xf>
    <xf numFmtId="167" fontId="0" fillId="8" borderId="1" xfId="4" applyNumberFormat="1" applyFont="1" applyFill="1" applyBorder="1"/>
    <xf numFmtId="164" fontId="3" fillId="0" borderId="0" xfId="1" applyNumberFormat="1" applyFont="1" applyFill="1" applyBorder="1" applyAlignment="1">
      <alignment horizontal="right"/>
    </xf>
    <xf numFmtId="164" fontId="3" fillId="0" borderId="0" xfId="1" applyNumberFormat="1" applyFont="1" applyFill="1" applyBorder="1" applyProtection="1">
      <protection locked="0"/>
    </xf>
    <xf numFmtId="164" fontId="32" fillId="0" borderId="0" xfId="1" applyNumberFormat="1" applyFont="1" applyFill="1"/>
    <xf numFmtId="164" fontId="3" fillId="0" borderId="21" xfId="1" applyNumberFormat="1" applyFont="1" applyFill="1" applyBorder="1" applyAlignment="1">
      <alignment horizontal="left" vertical="center"/>
    </xf>
    <xf numFmtId="10" fontId="0" fillId="0" borderId="0" xfId="2" applyNumberFormat="1" applyFont="1" applyFill="1" applyBorder="1"/>
    <xf numFmtId="164" fontId="13" fillId="0" borderId="0" xfId="1" applyNumberFormat="1" applyFont="1" applyAlignment="1">
      <alignment horizontal="center"/>
    </xf>
    <xf numFmtId="164" fontId="13" fillId="4" borderId="0" xfId="1" applyNumberFormat="1" applyFont="1" applyFill="1" applyBorder="1" applyAlignment="1">
      <alignment horizontal="center"/>
    </xf>
    <xf numFmtId="164" fontId="0" fillId="0" borderId="0" xfId="1" applyNumberFormat="1" applyFont="1" applyFill="1" applyBorder="1" applyProtection="1"/>
    <xf numFmtId="167" fontId="0" fillId="0" borderId="0" xfId="4" applyNumberFormat="1" applyFont="1" applyFill="1" applyBorder="1" applyProtection="1"/>
    <xf numFmtId="165" fontId="0" fillId="0" borderId="0" xfId="2" applyNumberFormat="1" applyFont="1" applyFill="1" applyBorder="1" applyAlignment="1" applyProtection="1">
      <alignment horizontal="center"/>
    </xf>
    <xf numFmtId="164" fontId="16" fillId="0" borderId="0" xfId="1" applyNumberFormat="1" applyFont="1" applyBorder="1"/>
    <xf numFmtId="164" fontId="16" fillId="0" borderId="0" xfId="1" applyNumberFormat="1" applyFont="1" applyBorder="1" applyAlignment="1">
      <alignment horizontal="center"/>
    </xf>
    <xf numFmtId="164" fontId="16" fillId="4" borderId="0" xfId="1" applyNumberFormat="1" applyFont="1" applyFill="1" applyBorder="1" applyAlignment="1">
      <alignment horizontal="center"/>
    </xf>
    <xf numFmtId="168" fontId="11" fillId="0" borderId="0" xfId="2" applyNumberFormat="1" applyFont="1" applyFill="1"/>
    <xf numFmtId="164" fontId="11" fillId="9" borderId="9" xfId="1" applyNumberFormat="1" applyFont="1" applyFill="1" applyBorder="1"/>
    <xf numFmtId="164" fontId="0" fillId="0" borderId="8" xfId="1" applyNumberFormat="1" applyFont="1" applyFill="1" applyBorder="1" applyAlignment="1" applyProtection="1">
      <alignment horizontal="center"/>
    </xf>
    <xf numFmtId="164" fontId="1" fillId="0" borderId="8" xfId="1" applyNumberFormat="1" applyFont="1" applyFill="1" applyBorder="1" applyAlignment="1" applyProtection="1">
      <alignment horizontal="center"/>
    </xf>
    <xf numFmtId="167" fontId="0" fillId="8" borderId="7" xfId="4" applyNumberFormat="1" applyFont="1" applyFill="1" applyBorder="1" applyAlignment="1" applyProtection="1">
      <alignment horizontal="center"/>
    </xf>
    <xf numFmtId="167" fontId="0" fillId="8" borderId="14" xfId="4" applyNumberFormat="1" applyFont="1" applyFill="1" applyBorder="1" applyAlignment="1" applyProtection="1">
      <alignment horizontal="center"/>
    </xf>
    <xf numFmtId="167" fontId="1" fillId="8" borderId="14" xfId="4" applyNumberFormat="1" applyFont="1" applyFill="1" applyBorder="1" applyAlignment="1" applyProtection="1">
      <alignment horizontal="center"/>
    </xf>
    <xf numFmtId="167" fontId="3" fillId="8" borderId="45" xfId="4" applyNumberFormat="1" applyFont="1" applyFill="1" applyBorder="1" applyAlignment="1" applyProtection="1">
      <alignment horizontal="center"/>
    </xf>
    <xf numFmtId="0" fontId="3" fillId="18" borderId="8" xfId="0" applyFont="1" applyFill="1" applyBorder="1" applyAlignment="1">
      <alignment horizontal="center" wrapText="1"/>
    </xf>
    <xf numFmtId="164" fontId="0" fillId="9" borderId="0" xfId="1" applyNumberFormat="1" applyFont="1" applyFill="1" applyBorder="1"/>
    <xf numFmtId="164" fontId="0" fillId="0" borderId="2" xfId="1" applyNumberFormat="1" applyFont="1" applyFill="1" applyBorder="1"/>
    <xf numFmtId="164" fontId="3" fillId="0" borderId="0" xfId="1" applyNumberFormat="1" applyFont="1" applyFill="1" applyBorder="1" applyAlignment="1">
      <alignment vertical="center"/>
    </xf>
    <xf numFmtId="164" fontId="0" fillId="0" borderId="10" xfId="1" applyNumberFormat="1" applyFont="1" applyFill="1" applyBorder="1" applyAlignment="1" applyProtection="1">
      <alignment horizontal="center" wrapText="1"/>
    </xf>
    <xf numFmtId="167" fontId="6" fillId="14" borderId="1" xfId="4" applyNumberFormat="1" applyFont="1" applyFill="1" applyBorder="1" applyProtection="1">
      <protection locked="0"/>
    </xf>
    <xf numFmtId="10" fontId="0" fillId="14" borderId="1" xfId="2" applyNumberFormat="1" applyFont="1" applyFill="1" applyBorder="1" applyProtection="1">
      <protection locked="0"/>
    </xf>
    <xf numFmtId="167" fontId="0" fillId="14" borderId="1" xfId="4" applyNumberFormat="1" applyFont="1" applyFill="1" applyBorder="1" applyProtection="1">
      <protection locked="0"/>
    </xf>
    <xf numFmtId="0" fontId="3" fillId="18" borderId="8" xfId="0" applyFont="1" applyFill="1" applyBorder="1" applyAlignment="1">
      <alignment horizontal="left" wrapText="1"/>
    </xf>
    <xf numFmtId="164" fontId="3" fillId="0" borderId="0" xfId="1" applyNumberFormat="1" applyFont="1" applyBorder="1" applyAlignment="1">
      <alignment horizontal="left" indent="1"/>
    </xf>
    <xf numFmtId="0" fontId="0" fillId="0" borderId="19" xfId="0" applyBorder="1"/>
    <xf numFmtId="0" fontId="3" fillId="0" borderId="37" xfId="0" quotePrefix="1" applyFont="1" applyBorder="1" applyAlignment="1">
      <alignment horizontal="center"/>
    </xf>
    <xf numFmtId="0" fontId="3" fillId="0" borderId="37" xfId="0" applyFont="1" applyBorder="1" applyAlignment="1">
      <alignment horizontal="center"/>
    </xf>
    <xf numFmtId="0" fontId="3" fillId="0" borderId="11" xfId="0" applyFont="1" applyBorder="1" applyAlignment="1">
      <alignment horizontal="center"/>
    </xf>
    <xf numFmtId="0" fontId="0" fillId="0" borderId="34" xfId="0" applyBorder="1"/>
    <xf numFmtId="164" fontId="0" fillId="0" borderId="15" xfId="1" applyNumberFormat="1" applyFont="1" applyBorder="1"/>
    <xf numFmtId="164" fontId="0" fillId="5" borderId="0" xfId="1" applyNumberFormat="1" applyFont="1" applyFill="1" applyBorder="1"/>
    <xf numFmtId="164" fontId="0" fillId="5" borderId="0" xfId="1" applyNumberFormat="1" applyFont="1" applyFill="1" applyBorder="1" applyAlignment="1">
      <alignment horizontal="center"/>
    </xf>
    <xf numFmtId="164" fontId="0" fillId="5" borderId="15" xfId="1" applyNumberFormat="1" applyFont="1" applyFill="1" applyBorder="1" applyAlignment="1">
      <alignment horizontal="center"/>
    </xf>
    <xf numFmtId="164" fontId="0" fillId="9" borderId="15" xfId="1" applyNumberFormat="1" applyFont="1" applyFill="1" applyBorder="1"/>
    <xf numFmtId="0" fontId="0" fillId="0" borderId="20" xfId="0" applyBorder="1"/>
    <xf numFmtId="10" fontId="0" fillId="6" borderId="9" xfId="2" applyNumberFormat="1" applyFont="1" applyFill="1" applyBorder="1"/>
    <xf numFmtId="0" fontId="0" fillId="0" borderId="46" xfId="0" applyBorder="1"/>
    <xf numFmtId="9" fontId="3" fillId="0" borderId="26" xfId="0" applyNumberFormat="1" applyFont="1" applyBorder="1" applyAlignment="1">
      <alignment horizontal="center"/>
    </xf>
    <xf numFmtId="9" fontId="3" fillId="0" borderId="13" xfId="0" applyNumberFormat="1" applyFont="1" applyBorder="1" applyAlignment="1">
      <alignment horizontal="center"/>
    </xf>
    <xf numFmtId="10" fontId="3" fillId="0" borderId="26" xfId="0" applyNumberFormat="1" applyFont="1" applyBorder="1" applyAlignment="1">
      <alignment horizontal="center"/>
    </xf>
    <xf numFmtId="10" fontId="3" fillId="0" borderId="0" xfId="0" applyNumberFormat="1" applyFont="1" applyAlignment="1">
      <alignment horizontal="center"/>
    </xf>
    <xf numFmtId="164" fontId="2" fillId="0" borderId="0" xfId="1" applyNumberFormat="1" applyFont="1" applyFill="1"/>
    <xf numFmtId="164" fontId="11" fillId="0" borderId="9" xfId="1" applyNumberFormat="1" applyFont="1" applyFill="1" applyBorder="1"/>
    <xf numFmtId="10" fontId="11" fillId="0" borderId="9" xfId="2" applyNumberFormat="1" applyFont="1" applyFill="1" applyBorder="1"/>
    <xf numFmtId="164" fontId="0" fillId="7" borderId="0" xfId="1" applyNumberFormat="1" applyFont="1" applyFill="1"/>
    <xf numFmtId="0" fontId="4" fillId="7" borderId="0" xfId="0" applyFont="1" applyFill="1"/>
    <xf numFmtId="164" fontId="23" fillId="17" borderId="9" xfId="1" applyNumberFormat="1" applyFont="1" applyFill="1" applyBorder="1"/>
    <xf numFmtId="43" fontId="3" fillId="7" borderId="0" xfId="1" applyFont="1" applyFill="1" applyBorder="1"/>
    <xf numFmtId="0" fontId="3" fillId="7" borderId="0" xfId="0" applyFont="1" applyFill="1"/>
    <xf numFmtId="0" fontId="3" fillId="4" borderId="2" xfId="0" applyFont="1" applyFill="1" applyBorder="1" applyAlignment="1">
      <alignment wrapText="1"/>
    </xf>
    <xf numFmtId="0" fontId="3" fillId="4" borderId="2" xfId="0" applyFont="1" applyFill="1" applyBorder="1" applyAlignment="1">
      <alignment horizontal="center" wrapText="1"/>
    </xf>
    <xf numFmtId="9" fontId="3" fillId="4" borderId="2" xfId="2" applyFont="1" applyFill="1" applyBorder="1" applyAlignment="1">
      <alignment horizontal="center" wrapText="1"/>
    </xf>
    <xf numFmtId="164" fontId="0" fillId="18" borderId="0" xfId="1" applyNumberFormat="1" applyFont="1" applyFill="1" applyBorder="1"/>
    <xf numFmtId="0" fontId="3" fillId="7" borderId="0" xfId="0" applyFont="1" applyFill="1" applyAlignment="1">
      <alignment wrapText="1"/>
    </xf>
    <xf numFmtId="0" fontId="3" fillId="7" borderId="8" xfId="0" applyFont="1" applyFill="1" applyBorder="1" applyAlignment="1">
      <alignment wrapText="1"/>
    </xf>
    <xf numFmtId="0" fontId="3" fillId="7" borderId="4" xfId="0" applyFont="1" applyFill="1" applyBorder="1" applyAlignment="1">
      <alignment horizontal="center"/>
    </xf>
    <xf numFmtId="0" fontId="3" fillId="7" borderId="47" xfId="0" applyFont="1" applyFill="1" applyBorder="1" applyAlignment="1">
      <alignment horizontal="center" wrapText="1"/>
    </xf>
    <xf numFmtId="0" fontId="3" fillId="7" borderId="36" xfId="0" applyFont="1" applyFill="1" applyBorder="1" applyAlignment="1">
      <alignment horizontal="center" wrapText="1"/>
    </xf>
    <xf numFmtId="0" fontId="0" fillId="7" borderId="34" xfId="0" applyFill="1" applyBorder="1" applyAlignment="1" applyProtection="1">
      <alignment horizontal="center"/>
      <protection locked="0"/>
    </xf>
    <xf numFmtId="0" fontId="3" fillId="8" borderId="47" xfId="0" applyFont="1" applyFill="1" applyBorder="1"/>
    <xf numFmtId="171" fontId="0" fillId="14" borderId="12" xfId="0" applyNumberFormat="1" applyFill="1" applyBorder="1" applyProtection="1">
      <protection locked="0"/>
    </xf>
    <xf numFmtId="0" fontId="3" fillId="8" borderId="8" xfId="0" applyFont="1" applyFill="1" applyBorder="1" applyAlignment="1">
      <alignment horizontal="center"/>
    </xf>
    <xf numFmtId="164" fontId="0" fillId="8" borderId="8" xfId="1" applyNumberFormat="1" applyFont="1" applyFill="1" applyBorder="1" applyProtection="1"/>
    <xf numFmtId="10" fontId="7" fillId="8" borderId="0" xfId="2" applyNumberFormat="1" applyFont="1" applyFill="1" applyBorder="1" applyProtection="1"/>
    <xf numFmtId="0" fontId="3" fillId="18" borderId="7" xfId="0" applyFont="1" applyFill="1" applyBorder="1" applyAlignment="1">
      <alignment horizontal="left" wrapText="1"/>
    </xf>
    <xf numFmtId="164" fontId="0" fillId="5" borderId="7" xfId="1" applyNumberFormat="1" applyFont="1" applyFill="1" applyBorder="1" applyProtection="1"/>
    <xf numFmtId="164" fontId="23" fillId="17" borderId="40" xfId="1" applyNumberFormat="1" applyFont="1" applyFill="1" applyBorder="1"/>
    <xf numFmtId="164" fontId="10" fillId="18" borderId="0" xfId="1" applyNumberFormat="1" applyFont="1" applyFill="1" applyAlignment="1">
      <alignment horizontal="center"/>
    </xf>
    <xf numFmtId="164" fontId="21" fillId="0" borderId="0" xfId="1" applyNumberFormat="1" applyFont="1" applyBorder="1"/>
    <xf numFmtId="164" fontId="0" fillId="0" borderId="0" xfId="1" applyNumberFormat="1" applyFont="1" applyBorder="1" applyProtection="1"/>
    <xf numFmtId="43" fontId="0" fillId="0" borderId="0" xfId="1" applyFont="1" applyBorder="1" applyProtection="1"/>
    <xf numFmtId="2" fontId="0" fillId="8" borderId="0" xfId="1" applyNumberFormat="1" applyFont="1" applyFill="1" applyBorder="1" applyAlignment="1" applyProtection="1">
      <alignment horizontal="center" wrapText="1"/>
    </xf>
    <xf numFmtId="165" fontId="0" fillId="0" borderId="0" xfId="2" applyNumberFormat="1" applyFont="1" applyBorder="1" applyProtection="1"/>
    <xf numFmtId="164" fontId="3" fillId="0" borderId="22" xfId="1" applyNumberFormat="1" applyFont="1" applyBorder="1" applyProtection="1">
      <protection locked="0"/>
    </xf>
    <xf numFmtId="167" fontId="0" fillId="8" borderId="23" xfId="4" applyNumberFormat="1" applyFont="1" applyFill="1" applyBorder="1" applyProtection="1">
      <protection locked="0"/>
    </xf>
    <xf numFmtId="164" fontId="3" fillId="0" borderId="24" xfId="1" applyNumberFormat="1" applyFont="1" applyBorder="1" applyProtection="1">
      <protection locked="0"/>
    </xf>
    <xf numFmtId="167" fontId="0" fillId="8" borderId="25" xfId="4" applyNumberFormat="1" applyFont="1" applyFill="1" applyBorder="1" applyProtection="1">
      <protection locked="0"/>
    </xf>
    <xf numFmtId="8" fontId="0" fillId="0" borderId="0" xfId="2" applyNumberFormat="1" applyFont="1" applyBorder="1" applyProtection="1">
      <protection locked="0"/>
    </xf>
    <xf numFmtId="164" fontId="3" fillId="0" borderId="0" xfId="1" applyNumberFormat="1" applyFont="1" applyBorder="1" applyProtection="1">
      <protection locked="0"/>
    </xf>
    <xf numFmtId="43" fontId="0" fillId="0" borderId="0" xfId="1" applyFont="1" applyFill="1" applyBorder="1" applyProtection="1">
      <protection locked="0"/>
    </xf>
    <xf numFmtId="167" fontId="3" fillId="8" borderId="45" xfId="4" applyNumberFormat="1" applyFont="1" applyFill="1" applyBorder="1" applyProtection="1"/>
    <xf numFmtId="164" fontId="31" fillId="0" borderId="0" xfId="1" applyNumberFormat="1" applyFont="1" applyFill="1" applyBorder="1" applyAlignment="1">
      <alignment wrapText="1"/>
    </xf>
    <xf numFmtId="0" fontId="38" fillId="0" borderId="0" xfId="0" applyFont="1" applyAlignment="1">
      <alignmen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0" fillId="0" borderId="8" xfId="0" applyBorder="1" applyAlignment="1">
      <alignment horizontal="center"/>
    </xf>
    <xf numFmtId="0" fontId="35" fillId="0" borderId="8" xfId="0" applyFont="1" applyBorder="1" applyAlignment="1">
      <alignment horizontal="center" vertical="center"/>
    </xf>
    <xf numFmtId="0" fontId="0" fillId="0" borderId="8" xfId="0" applyBorder="1"/>
    <xf numFmtId="0" fontId="34" fillId="0" borderId="0" xfId="0" applyFont="1" applyAlignment="1">
      <alignment horizontal="center" vertical="center"/>
    </xf>
    <xf numFmtId="0" fontId="14" fillId="0" borderId="0" xfId="0" applyFont="1" applyAlignment="1">
      <alignment vertical="center" wrapText="1"/>
    </xf>
    <xf numFmtId="0" fontId="17" fillId="0" borderId="0" xfId="0" applyFont="1" applyAlignment="1">
      <alignment wrapText="1"/>
    </xf>
    <xf numFmtId="0" fontId="30" fillId="0" borderId="0" xfId="0" applyFont="1" applyAlignment="1">
      <alignment vertical="center" wrapText="1"/>
    </xf>
    <xf numFmtId="0" fontId="37" fillId="0" borderId="0" xfId="0" applyFont="1" applyAlignment="1">
      <alignment vertical="center" wrapText="1"/>
    </xf>
    <xf numFmtId="0" fontId="0" fillId="0" borderId="0" xfId="0" applyAlignment="1">
      <alignment horizontal="center" vertical="center"/>
    </xf>
    <xf numFmtId="9" fontId="39" fillId="0" borderId="0" xfId="2" applyFont="1" applyFill="1" applyBorder="1" applyAlignment="1">
      <alignment horizontal="center" vertical="center"/>
    </xf>
    <xf numFmtId="0" fontId="22" fillId="0" borderId="0" xfId="0" applyFont="1" applyAlignment="1">
      <alignment horizontal="center" vertical="center"/>
    </xf>
    <xf numFmtId="9" fontId="39" fillId="0" borderId="0" xfId="2" applyFont="1" applyFill="1" applyBorder="1" applyAlignment="1">
      <alignment vertical="center"/>
    </xf>
    <xf numFmtId="167" fontId="14" fillId="0" borderId="0" xfId="4" applyNumberFormat="1" applyFont="1" applyFill="1" applyBorder="1"/>
    <xf numFmtId="164" fontId="14" fillId="7" borderId="0" xfId="1" applyNumberFormat="1" applyFont="1" applyFill="1" applyBorder="1"/>
    <xf numFmtId="10" fontId="14" fillId="0" borderId="0" xfId="2" applyNumberFormat="1" applyFont="1" applyBorder="1"/>
    <xf numFmtId="164" fontId="14" fillId="7" borderId="37" xfId="1" applyNumberFormat="1" applyFont="1" applyFill="1" applyBorder="1"/>
    <xf numFmtId="164" fontId="0" fillId="0" borderId="37" xfId="1" applyNumberFormat="1" applyFont="1" applyBorder="1"/>
    <xf numFmtId="164" fontId="3" fillId="0" borderId="20" xfId="1" applyNumberFormat="1" applyFont="1" applyBorder="1"/>
    <xf numFmtId="164" fontId="3" fillId="0" borderId="49" xfId="1" applyNumberFormat="1" applyFont="1" applyBorder="1"/>
    <xf numFmtId="10" fontId="3" fillId="0" borderId="49" xfId="2" applyNumberFormat="1" applyFont="1" applyBorder="1"/>
    <xf numFmtId="164" fontId="0" fillId="0" borderId="49" xfId="1" applyNumberFormat="1" applyFont="1" applyBorder="1"/>
    <xf numFmtId="43" fontId="3" fillId="0" borderId="0" xfId="1" applyFont="1" applyBorder="1"/>
    <xf numFmtId="167" fontId="14" fillId="20" borderId="50" xfId="4" applyNumberFormat="1" applyFont="1" applyFill="1" applyBorder="1" applyProtection="1">
      <protection locked="0"/>
    </xf>
    <xf numFmtId="167" fontId="0" fillId="20" borderId="51" xfId="4" applyNumberFormat="1" applyFont="1" applyFill="1" applyBorder="1" applyProtection="1">
      <protection locked="0"/>
    </xf>
    <xf numFmtId="167" fontId="3" fillId="0" borderId="0" xfId="4" applyNumberFormat="1" applyFont="1" applyFill="1" applyBorder="1"/>
    <xf numFmtId="167" fontId="0" fillId="8" borderId="43" xfId="4" applyNumberFormat="1" applyFont="1" applyFill="1" applyBorder="1"/>
    <xf numFmtId="167" fontId="0" fillId="5" borderId="18" xfId="4" applyNumberFormat="1" applyFont="1" applyFill="1" applyBorder="1"/>
    <xf numFmtId="167" fontId="0" fillId="8" borderId="41" xfId="4" applyNumberFormat="1" applyFont="1" applyFill="1" applyBorder="1" applyProtection="1">
      <protection locked="0"/>
    </xf>
    <xf numFmtId="167" fontId="0" fillId="8" borderId="42" xfId="4" applyNumberFormat="1" applyFont="1" applyFill="1" applyBorder="1"/>
    <xf numFmtId="172" fontId="21" fillId="8" borderId="50" xfId="4" applyNumberFormat="1" applyFont="1" applyFill="1" applyBorder="1" applyProtection="1">
      <protection locked="0"/>
    </xf>
    <xf numFmtId="167" fontId="0" fillId="5" borderId="11" xfId="4" applyNumberFormat="1" applyFont="1" applyFill="1" applyBorder="1"/>
    <xf numFmtId="0" fontId="0" fillId="0" borderId="0" xfId="0" applyAlignment="1">
      <alignment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0" fillId="0" borderId="40" xfId="0" applyBorder="1" applyAlignment="1">
      <alignment horizontal="center" vertical="center" wrapText="1"/>
    </xf>
    <xf numFmtId="9" fontId="0" fillId="0" borderId="18" xfId="0" applyNumberFormat="1" applyBorder="1" applyAlignment="1">
      <alignment horizontal="center" vertical="center" wrapText="1"/>
    </xf>
    <xf numFmtId="165" fontId="0" fillId="0" borderId="18" xfId="0" applyNumberFormat="1"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vertical="center"/>
    </xf>
    <xf numFmtId="0" fontId="0" fillId="0" borderId="6" xfId="0" applyBorder="1" applyAlignment="1">
      <alignment vertical="center" wrapText="1"/>
    </xf>
    <xf numFmtId="0" fontId="0" fillId="0" borderId="18" xfId="0" applyBorder="1" applyAlignment="1">
      <alignment vertical="center" wrapText="1"/>
    </xf>
    <xf numFmtId="0" fontId="14" fillId="0" borderId="8" xfId="0" applyFont="1" applyBorder="1" applyAlignment="1">
      <alignment vertical="center" wrapText="1"/>
    </xf>
    <xf numFmtId="0" fontId="36" fillId="14" borderId="8" xfId="0" applyFont="1" applyFill="1" applyBorder="1" applyAlignment="1" applyProtection="1">
      <alignment horizontal="center" wrapText="1"/>
      <protection locked="0"/>
    </xf>
    <xf numFmtId="167" fontId="0" fillId="7" borderId="8" xfId="4" applyNumberFormat="1" applyFont="1" applyFill="1" applyBorder="1" applyAlignment="1" applyProtection="1">
      <alignment wrapText="1"/>
      <protection locked="0"/>
    </xf>
    <xf numFmtId="167" fontId="0" fillId="7" borderId="7" xfId="4" applyNumberFormat="1" applyFont="1" applyFill="1" applyBorder="1" applyAlignment="1" applyProtection="1">
      <alignment wrapText="1"/>
      <protection locked="0"/>
    </xf>
    <xf numFmtId="0" fontId="0" fillId="7" borderId="8" xfId="0" applyFill="1" applyBorder="1" applyAlignment="1" applyProtection="1">
      <alignment wrapText="1"/>
      <protection locked="0"/>
    </xf>
    <xf numFmtId="164" fontId="0" fillId="0" borderId="0" xfId="1" applyNumberFormat="1" applyFont="1" applyFill="1" applyBorder="1" applyAlignment="1" applyProtection="1"/>
    <xf numFmtId="0" fontId="0" fillId="7" borderId="0" xfId="0" applyFill="1" applyAlignment="1">
      <alignment wrapText="1"/>
    </xf>
    <xf numFmtId="164" fontId="1" fillId="0" borderId="0" xfId="1" applyNumberFormat="1" applyFont="1" applyFill="1" applyBorder="1" applyProtection="1"/>
    <xf numFmtId="0" fontId="0" fillId="0" borderId="8" xfId="0" applyBorder="1" applyAlignment="1" applyProtection="1">
      <alignment wrapText="1"/>
      <protection locked="0"/>
    </xf>
    <xf numFmtId="0" fontId="18" fillId="8" borderId="9" xfId="0" applyFont="1" applyFill="1" applyBorder="1" applyAlignment="1">
      <alignment horizontal="center"/>
    </xf>
    <xf numFmtId="0" fontId="17" fillId="0" borderId="6" xfId="0" applyFont="1" applyBorder="1" applyAlignment="1">
      <alignment horizontal="center"/>
    </xf>
    <xf numFmtId="0" fontId="18" fillId="8" borderId="40" xfId="0" applyFont="1" applyFill="1" applyBorder="1" applyAlignment="1">
      <alignment horizontal="center"/>
    </xf>
    <xf numFmtId="169" fontId="18" fillId="0" borderId="18" xfId="0" applyNumberFormat="1" applyFont="1" applyBorder="1" applyAlignment="1">
      <alignment horizontal="center"/>
    </xf>
    <xf numFmtId="0" fontId="34" fillId="7" borderId="0" xfId="0" applyFont="1" applyFill="1" applyAlignment="1">
      <alignment horizontal="center" vertical="center"/>
    </xf>
    <xf numFmtId="167" fontId="0" fillId="8" borderId="48" xfId="4" applyNumberFormat="1" applyFont="1" applyFill="1" applyBorder="1"/>
    <xf numFmtId="167" fontId="3" fillId="8" borderId="47" xfId="4" applyNumberFormat="1" applyFont="1" applyFill="1" applyBorder="1"/>
    <xf numFmtId="167" fontId="3" fillId="15" borderId="36" xfId="4" applyNumberFormat="1" applyFont="1" applyFill="1" applyBorder="1"/>
    <xf numFmtId="164" fontId="3" fillId="0" borderId="44"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0" fontId="4" fillId="15" borderId="37" xfId="0" applyFont="1" applyFill="1" applyBorder="1"/>
    <xf numFmtId="164" fontId="0" fillId="0" borderId="52" xfId="1" applyNumberFormat="1" applyFont="1" applyFill="1" applyBorder="1" applyAlignment="1">
      <alignment horizontal="left"/>
    </xf>
    <xf numFmtId="167" fontId="0" fillId="8" borderId="12" xfId="4" applyNumberFormat="1" applyFont="1" applyFill="1" applyBorder="1" applyProtection="1"/>
    <xf numFmtId="167" fontId="0" fillId="8" borderId="29" xfId="4" applyNumberFormat="1" applyFont="1" applyFill="1" applyBorder="1" applyProtection="1"/>
    <xf numFmtId="167" fontId="0" fillId="8" borderId="48" xfId="4" applyNumberFormat="1" applyFont="1" applyFill="1" applyBorder="1" applyProtection="1"/>
    <xf numFmtId="164" fontId="0" fillId="0" borderId="53" xfId="1" applyNumberFormat="1" applyFont="1" applyFill="1" applyBorder="1" applyAlignment="1">
      <alignment horizontal="left"/>
    </xf>
    <xf numFmtId="167" fontId="0" fillId="8" borderId="7" xfId="4" applyNumberFormat="1" applyFont="1" applyFill="1" applyBorder="1" applyProtection="1"/>
    <xf numFmtId="167" fontId="0" fillId="8" borderId="54" xfId="4" applyNumberFormat="1" applyFont="1" applyFill="1" applyBorder="1" applyProtection="1"/>
    <xf numFmtId="164" fontId="14" fillId="0" borderId="24" xfId="1" applyNumberFormat="1" applyFont="1" applyFill="1" applyBorder="1" applyAlignment="1">
      <alignment horizontal="left"/>
    </xf>
    <xf numFmtId="167" fontId="3" fillId="0" borderId="55" xfId="4" applyNumberFormat="1" applyFont="1" applyFill="1" applyBorder="1" applyProtection="1"/>
    <xf numFmtId="167" fontId="3" fillId="0" borderId="56" xfId="4" applyNumberFormat="1" applyFont="1" applyFill="1" applyBorder="1" applyProtection="1"/>
    <xf numFmtId="0" fontId="4" fillId="15" borderId="49" xfId="0" applyFont="1" applyFill="1" applyBorder="1"/>
    <xf numFmtId="167" fontId="3" fillId="0" borderId="25" xfId="4" applyNumberFormat="1" applyFont="1" applyFill="1" applyBorder="1" applyProtection="1"/>
    <xf numFmtId="164" fontId="14" fillId="17" borderId="16" xfId="1" applyNumberFormat="1" applyFont="1" applyFill="1" applyBorder="1" applyAlignment="1">
      <alignment horizontal="left" wrapText="1"/>
    </xf>
    <xf numFmtId="167" fontId="14" fillId="0" borderId="42" xfId="0" applyNumberFormat="1" applyFont="1" applyBorder="1"/>
    <xf numFmtId="164" fontId="25" fillId="0" borderId="0" xfId="1" applyNumberFormat="1" applyFont="1" applyFill="1" applyBorder="1" applyAlignment="1">
      <alignment horizontal="left"/>
    </xf>
    <xf numFmtId="167" fontId="0" fillId="0" borderId="0" xfId="0" applyNumberFormat="1"/>
    <xf numFmtId="164" fontId="14" fillId="0" borderId="0" xfId="1" applyNumberFormat="1" applyFont="1" applyFill="1" applyBorder="1" applyAlignment="1">
      <alignment horizontal="left" wrapText="1"/>
    </xf>
    <xf numFmtId="43" fontId="3" fillId="0" borderId="0" xfId="1" applyFont="1" applyFill="1" applyBorder="1" applyAlignment="1">
      <alignment horizontal="center" vertical="center" wrapText="1"/>
    </xf>
    <xf numFmtId="167" fontId="4" fillId="15" borderId="2" xfId="0" applyNumberFormat="1" applyFont="1" applyFill="1" applyBorder="1"/>
    <xf numFmtId="167" fontId="3" fillId="8" borderId="3" xfId="4" applyNumberFormat="1" applyFont="1" applyFill="1" applyBorder="1" applyProtection="1"/>
    <xf numFmtId="167" fontId="3" fillId="4" borderId="2" xfId="4" applyNumberFormat="1" applyFont="1" applyFill="1" applyBorder="1"/>
    <xf numFmtId="164" fontId="3" fillId="0" borderId="58" xfId="1" applyNumberFormat="1" applyFont="1" applyBorder="1" applyAlignment="1">
      <alignment horizontal="left" indent="1"/>
    </xf>
    <xf numFmtId="164" fontId="3" fillId="0" borderId="58" xfId="1" applyNumberFormat="1" applyFont="1" applyBorder="1"/>
    <xf numFmtId="167" fontId="3" fillId="8" borderId="58" xfId="4" applyNumberFormat="1" applyFont="1" applyFill="1" applyBorder="1"/>
    <xf numFmtId="0" fontId="4" fillId="15" borderId="58" xfId="0" applyFont="1" applyFill="1" applyBorder="1"/>
    <xf numFmtId="167" fontId="3" fillId="8" borderId="57" xfId="4" applyNumberFormat="1" applyFont="1" applyFill="1" applyBorder="1" applyProtection="1"/>
    <xf numFmtId="167" fontId="3" fillId="4" borderId="58" xfId="4" applyNumberFormat="1" applyFont="1" applyFill="1" applyBorder="1"/>
    <xf numFmtId="10" fontId="0" fillId="8" borderId="8" xfId="2" applyNumberFormat="1" applyFont="1" applyFill="1" applyBorder="1" applyAlignment="1" applyProtection="1">
      <alignment horizontal="center"/>
    </xf>
    <xf numFmtId="10" fontId="0" fillId="8" borderId="2" xfId="2" applyNumberFormat="1" applyFont="1" applyFill="1" applyBorder="1"/>
    <xf numFmtId="10" fontId="0" fillId="8" borderId="26" xfId="2" applyNumberFormat="1" applyFont="1" applyFill="1" applyBorder="1"/>
    <xf numFmtId="10" fontId="0" fillId="8" borderId="7" xfId="2" applyNumberFormat="1" applyFont="1" applyFill="1" applyBorder="1"/>
    <xf numFmtId="10" fontId="3" fillId="0" borderId="55" xfId="2" applyNumberFormat="1" applyFont="1" applyFill="1" applyBorder="1"/>
    <xf numFmtId="10" fontId="14" fillId="0" borderId="17" xfId="2" applyNumberFormat="1" applyFont="1" applyFill="1" applyBorder="1"/>
    <xf numFmtId="10" fontId="0" fillId="8" borderId="12" xfId="2" applyNumberFormat="1" applyFont="1" applyFill="1" applyBorder="1"/>
    <xf numFmtId="10" fontId="3" fillId="7" borderId="55" xfId="0" applyNumberFormat="1" applyFont="1" applyFill="1" applyBorder="1" applyAlignment="1">
      <alignment horizontal="right" wrapText="1"/>
    </xf>
    <xf numFmtId="10" fontId="0" fillId="8" borderId="32" xfId="2" applyNumberFormat="1" applyFont="1" applyFill="1" applyBorder="1"/>
    <xf numFmtId="10" fontId="0" fillId="8" borderId="30" xfId="2" applyNumberFormat="1" applyFont="1" applyFill="1" applyBorder="1"/>
    <xf numFmtId="10" fontId="3" fillId="7" borderId="57" xfId="0" applyNumberFormat="1" applyFont="1" applyFill="1" applyBorder="1" applyAlignment="1">
      <alignment horizontal="right" wrapText="1"/>
    </xf>
    <xf numFmtId="10" fontId="0" fillId="8" borderId="23" xfId="2" applyNumberFormat="1" applyFont="1" applyFill="1" applyBorder="1" applyAlignment="1" applyProtection="1">
      <alignment horizontal="center"/>
    </xf>
    <xf numFmtId="167" fontId="3" fillId="8" borderId="2" xfId="4" applyNumberFormat="1" applyFont="1" applyFill="1" applyBorder="1" applyProtection="1"/>
    <xf numFmtId="0" fontId="0" fillId="15" borderId="0" xfId="0" applyFill="1" applyAlignment="1">
      <alignment horizontal="center"/>
    </xf>
    <xf numFmtId="0" fontId="3" fillId="8" borderId="4" xfId="0" applyFont="1" applyFill="1" applyBorder="1"/>
    <xf numFmtId="165" fontId="1" fillId="5" borderId="8" xfId="2" applyNumberFormat="1" applyFont="1" applyFill="1" applyBorder="1" applyAlignment="1">
      <alignment horizontal="center" vertical="center"/>
    </xf>
    <xf numFmtId="0" fontId="0" fillId="0" borderId="0" xfId="0" applyAlignment="1">
      <alignment vertical="center" wrapText="1"/>
    </xf>
    <xf numFmtId="0" fontId="7" fillId="0" borderId="0" xfId="0" applyFont="1" applyAlignment="1" applyProtection="1">
      <alignment horizontal="left" vertical="top" wrapText="1"/>
      <protection locked="0"/>
    </xf>
    <xf numFmtId="0" fontId="0" fillId="7" borderId="0" xfId="0" applyFill="1" applyAlignment="1">
      <alignment horizontal="left" wrapText="1"/>
    </xf>
    <xf numFmtId="164" fontId="41" fillId="7" borderId="0" xfId="1" applyNumberFormat="1" applyFont="1" applyFill="1" applyBorder="1"/>
    <xf numFmtId="0" fontId="42" fillId="0" borderId="0" xfId="0" applyFont="1" applyAlignment="1">
      <alignment horizontal="left" indent="2"/>
    </xf>
    <xf numFmtId="0" fontId="43" fillId="0" borderId="28" xfId="0" applyFont="1" applyBorder="1" applyAlignment="1">
      <alignment horizontal="left" indent="2"/>
    </xf>
    <xf numFmtId="0" fontId="44" fillId="0" borderId="0" xfId="5" applyFont="1" applyFill="1" applyBorder="1" applyAlignment="1">
      <alignment horizontal="left" indent="2"/>
    </xf>
    <xf numFmtId="0" fontId="18" fillId="0" borderId="0" xfId="0" applyFont="1" applyAlignment="1">
      <alignment horizontal="left" indent="2"/>
    </xf>
    <xf numFmtId="0" fontId="43" fillId="0" borderId="0" xfId="0" applyFont="1" applyAlignment="1">
      <alignment horizontal="left" indent="2"/>
    </xf>
    <xf numFmtId="0" fontId="18" fillId="0" borderId="31" xfId="0" applyFont="1" applyBorder="1" applyAlignment="1">
      <alignment horizontal="left" indent="2"/>
    </xf>
    <xf numFmtId="0" fontId="43" fillId="0" borderId="29" xfId="0" applyFont="1" applyBorder="1" applyAlignment="1">
      <alignment horizontal="left" indent="2"/>
    </xf>
    <xf numFmtId="0" fontId="18" fillId="0" borderId="26" xfId="0" applyFont="1" applyBorder="1" applyAlignment="1">
      <alignment horizontal="left" indent="2"/>
    </xf>
    <xf numFmtId="0" fontId="43" fillId="0" borderId="26" xfId="0" applyFont="1" applyBorder="1" applyAlignment="1">
      <alignment horizontal="left" indent="2"/>
    </xf>
    <xf numFmtId="0" fontId="18" fillId="0" borderId="32" xfId="0" applyFont="1" applyBorder="1" applyAlignment="1">
      <alignment horizontal="left" indent="2"/>
    </xf>
    <xf numFmtId="0" fontId="18" fillId="0" borderId="0" xfId="0" applyFont="1" applyAlignment="1">
      <alignment vertical="center" wrapText="1"/>
    </xf>
    <xf numFmtId="164" fontId="45" fillId="7" borderId="0" xfId="1" applyNumberFormat="1" applyFont="1" applyFill="1" applyBorder="1"/>
    <xf numFmtId="0" fontId="44" fillId="7" borderId="0" xfId="5" applyNumberFormat="1" applyFont="1" applyFill="1" applyBorder="1"/>
    <xf numFmtId="0" fontId="18" fillId="7" borderId="0" xfId="1" applyNumberFormat="1" applyFont="1" applyFill="1" applyBorder="1"/>
    <xf numFmtId="0" fontId="37" fillId="7" borderId="8" xfId="0" applyFont="1" applyFill="1" applyBorder="1" applyAlignment="1">
      <alignment horizontal="center" vertical="center" wrapText="1"/>
    </xf>
    <xf numFmtId="0" fontId="37" fillId="0" borderId="8" xfId="0" applyFont="1" applyBorder="1" applyAlignment="1">
      <alignment horizontal="center" vertical="center"/>
    </xf>
    <xf numFmtId="0" fontId="37" fillId="0" borderId="8" xfId="0" applyFont="1" applyBorder="1" applyAlignment="1">
      <alignment horizontal="center" vertical="center" wrapText="1"/>
    </xf>
    <xf numFmtId="0" fontId="36" fillId="14" borderId="8" xfId="0" applyFont="1" applyFill="1" applyBorder="1" applyAlignment="1" applyProtection="1">
      <alignment horizontal="center" vertical="center" wrapText="1"/>
      <protection locked="0"/>
    </xf>
    <xf numFmtId="0" fontId="3" fillId="4" borderId="2" xfId="0" applyFont="1" applyFill="1" applyBorder="1" applyAlignment="1">
      <alignment horizontal="center" vertical="center" wrapText="1"/>
    </xf>
    <xf numFmtId="165" fontId="39" fillId="0" borderId="0" xfId="2" applyNumberFormat="1" applyFont="1" applyFill="1" applyBorder="1" applyAlignment="1">
      <alignment horizontal="center" vertical="center"/>
    </xf>
    <xf numFmtId="0" fontId="0" fillId="4" borderId="0" xfId="0" applyFill="1"/>
    <xf numFmtId="0" fontId="14" fillId="7" borderId="27" xfId="0" applyFont="1" applyFill="1" applyBorder="1" applyAlignment="1">
      <alignment horizontal="right" vertical="center" wrapText="1"/>
    </xf>
    <xf numFmtId="0" fontId="40" fillId="7" borderId="10" xfId="0" applyFont="1" applyFill="1" applyBorder="1" applyAlignment="1">
      <alignment horizontal="center" vertical="center" wrapText="1"/>
    </xf>
    <xf numFmtId="0" fontId="21" fillId="7" borderId="28" xfId="0" applyFont="1" applyFill="1" applyBorder="1" applyAlignment="1">
      <alignment horizontal="right" vertical="center" wrapText="1"/>
    </xf>
    <xf numFmtId="0" fontId="40" fillId="7" borderId="0" xfId="0" applyFont="1" applyFill="1" applyAlignment="1">
      <alignment horizontal="center" vertical="center" wrapText="1"/>
    </xf>
    <xf numFmtId="0" fontId="21" fillId="7" borderId="29" xfId="0" applyFont="1" applyFill="1" applyBorder="1" applyAlignment="1">
      <alignment horizontal="right" vertical="center" wrapText="1"/>
    </xf>
    <xf numFmtId="0" fontId="40" fillId="7" borderId="26" xfId="0" applyFont="1" applyFill="1" applyBorder="1" applyAlignment="1">
      <alignment horizontal="center" vertical="center" wrapText="1"/>
    </xf>
    <xf numFmtId="0" fontId="21" fillId="7" borderId="27" xfId="0" applyFont="1" applyFill="1" applyBorder="1" applyAlignment="1">
      <alignment vertical="center" wrapText="1"/>
    </xf>
    <xf numFmtId="165" fontId="39" fillId="7" borderId="10" xfId="2" applyNumberFormat="1" applyFont="1" applyFill="1" applyBorder="1" applyAlignment="1">
      <alignment vertical="center"/>
    </xf>
    <xf numFmtId="0" fontId="21" fillId="7" borderId="28" xfId="0" applyFont="1" applyFill="1" applyBorder="1" applyAlignment="1">
      <alignment vertical="center" wrapText="1"/>
    </xf>
    <xf numFmtId="0" fontId="0" fillId="7" borderId="29" xfId="0" applyFill="1" applyBorder="1" applyAlignment="1">
      <alignment horizontal="left" indent="1"/>
    </xf>
    <xf numFmtId="0" fontId="14" fillId="4" borderId="26" xfId="0" applyFont="1" applyFill="1" applyBorder="1" applyAlignment="1">
      <alignment vertical="center" wrapText="1"/>
    </xf>
    <xf numFmtId="0" fontId="49" fillId="7" borderId="0" xfId="0" applyFont="1" applyFill="1"/>
    <xf numFmtId="0" fontId="51" fillId="7" borderId="28" xfId="0" applyFont="1" applyFill="1" applyBorder="1"/>
    <xf numFmtId="0" fontId="18" fillId="7" borderId="0" xfId="0" applyFont="1" applyFill="1"/>
    <xf numFmtId="164" fontId="18" fillId="7" borderId="0" xfId="1" applyNumberFormat="1" applyFont="1" applyFill="1" applyBorder="1"/>
    <xf numFmtId="0" fontId="18" fillId="7" borderId="31" xfId="0" applyFont="1" applyFill="1" applyBorder="1"/>
    <xf numFmtId="0" fontId="51" fillId="0" borderId="28" xfId="0" applyFont="1" applyBorder="1"/>
    <xf numFmtId="164" fontId="18" fillId="7" borderId="28" xfId="1" applyNumberFormat="1" applyFont="1" applyFill="1" applyBorder="1" applyAlignment="1">
      <alignment horizontal="left" indent="2"/>
    </xf>
    <xf numFmtId="164" fontId="18" fillId="21" borderId="28" xfId="1" applyNumberFormat="1" applyFont="1" applyFill="1" applyBorder="1" applyAlignment="1">
      <alignment horizontal="left" indent="2"/>
    </xf>
    <xf numFmtId="164" fontId="18" fillId="21" borderId="0" xfId="1" applyNumberFormat="1" applyFont="1" applyFill="1" applyBorder="1"/>
    <xf numFmtId="164" fontId="45" fillId="0" borderId="0" xfId="1" applyNumberFormat="1" applyFont="1"/>
    <xf numFmtId="0" fontId="18" fillId="0" borderId="0" xfId="1" applyNumberFormat="1" applyFont="1"/>
    <xf numFmtId="164" fontId="18" fillId="0" borderId="0" xfId="1" applyNumberFormat="1" applyFont="1" applyAlignment="1">
      <alignment wrapText="1"/>
    </xf>
    <xf numFmtId="164" fontId="18" fillId="0" borderId="0" xfId="1" applyNumberFormat="1" applyFont="1" applyAlignment="1"/>
    <xf numFmtId="164" fontId="18" fillId="0" borderId="0" xfId="1" applyNumberFormat="1" applyFont="1"/>
    <xf numFmtId="164" fontId="44" fillId="0" borderId="28" xfId="5" applyNumberFormat="1" applyFont="1" applyBorder="1"/>
    <xf numFmtId="0" fontId="17" fillId="0" borderId="0" xfId="0" applyFont="1"/>
    <xf numFmtId="164" fontId="18" fillId="0" borderId="0" xfId="1" applyNumberFormat="1" applyFont="1" applyBorder="1"/>
    <xf numFmtId="164" fontId="18" fillId="0" borderId="31" xfId="1" applyNumberFormat="1" applyFont="1" applyBorder="1"/>
    <xf numFmtId="164" fontId="18" fillId="0" borderId="28" xfId="1" applyNumberFormat="1" applyFont="1" applyBorder="1"/>
    <xf numFmtId="0" fontId="18" fillId="0" borderId="0" xfId="0" applyFont="1"/>
    <xf numFmtId="0" fontId="18" fillId="0" borderId="29" xfId="1" applyNumberFormat="1" applyFont="1" applyBorder="1" applyAlignment="1">
      <alignment horizontal="left" indent="1"/>
    </xf>
    <xf numFmtId="0" fontId="18" fillId="0" borderId="26" xfId="0" applyFont="1" applyBorder="1"/>
    <xf numFmtId="164" fontId="18" fillId="0" borderId="26" xfId="1" applyNumberFormat="1" applyFont="1" applyBorder="1"/>
    <xf numFmtId="164" fontId="18" fillId="0" borderId="32" xfId="1" applyNumberFormat="1" applyFont="1" applyBorder="1"/>
    <xf numFmtId="164" fontId="17" fillId="0" borderId="0" xfId="1" applyNumberFormat="1" applyFont="1" applyFill="1"/>
    <xf numFmtId="164" fontId="52" fillId="0" borderId="28" xfId="1" applyNumberFormat="1" applyFont="1" applyBorder="1"/>
    <xf numFmtId="10" fontId="53" fillId="0" borderId="26" xfId="2" applyNumberFormat="1" applyFont="1" applyBorder="1"/>
    <xf numFmtId="164" fontId="18" fillId="0" borderId="29" xfId="1" applyNumberFormat="1" applyFont="1" applyBorder="1"/>
    <xf numFmtId="164" fontId="52" fillId="0" borderId="0" xfId="1" applyNumberFormat="1" applyFont="1" applyBorder="1"/>
    <xf numFmtId="164" fontId="21" fillId="9" borderId="8" xfId="1" applyNumberFormat="1" applyFont="1" applyFill="1" applyBorder="1" applyProtection="1">
      <protection locked="0"/>
    </xf>
    <xf numFmtId="164" fontId="21" fillId="0" borderId="8" xfId="1" applyNumberFormat="1" applyFont="1" applyBorder="1" applyProtection="1">
      <protection locked="0"/>
    </xf>
    <xf numFmtId="0" fontId="18" fillId="0" borderId="28" xfId="0" applyFont="1" applyBorder="1"/>
    <xf numFmtId="0" fontId="54" fillId="0" borderId="0" xfId="0" applyFont="1"/>
    <xf numFmtId="0" fontId="18" fillId="0" borderId="31" xfId="0" applyFont="1" applyBorder="1"/>
    <xf numFmtId="0" fontId="43" fillId="0" borderId="28" xfId="0" applyFont="1" applyBorder="1" applyAlignment="1">
      <alignment horizontal="right"/>
    </xf>
    <xf numFmtId="0" fontId="43" fillId="0" borderId="0" xfId="0" applyFont="1" applyAlignment="1">
      <alignment horizontal="right"/>
    </xf>
    <xf numFmtId="0" fontId="18" fillId="0" borderId="0" xfId="0" applyFont="1" applyAlignment="1">
      <alignment horizontal="right"/>
    </xf>
    <xf numFmtId="0" fontId="18" fillId="0" borderId="29" xfId="0" applyFont="1" applyBorder="1" applyAlignment="1">
      <alignment horizontal="right"/>
    </xf>
    <xf numFmtId="0" fontId="18" fillId="0" borderId="32" xfId="0" applyFont="1" applyBorder="1"/>
    <xf numFmtId="164" fontId="17" fillId="0" borderId="28" xfId="1" applyNumberFormat="1" applyFont="1" applyBorder="1"/>
    <xf numFmtId="0" fontId="56" fillId="0" borderId="0" xfId="0" applyFont="1"/>
    <xf numFmtId="0" fontId="57" fillId="0" borderId="0" xfId="0" applyFont="1"/>
    <xf numFmtId="0" fontId="18" fillId="0" borderId="27" xfId="0" applyFont="1" applyBorder="1"/>
    <xf numFmtId="0" fontId="54" fillId="0" borderId="10" xfId="0" applyFont="1" applyBorder="1"/>
    <xf numFmtId="0" fontId="18" fillId="0" borderId="10" xfId="0" applyFont="1" applyBorder="1"/>
    <xf numFmtId="0" fontId="18" fillId="0" borderId="30" xfId="0" applyFont="1" applyBorder="1"/>
    <xf numFmtId="0" fontId="43" fillId="0" borderId="29" xfId="0" applyFont="1" applyBorder="1" applyAlignment="1">
      <alignment horizontal="right"/>
    </xf>
    <xf numFmtId="164" fontId="17" fillId="0" borderId="27" xfId="1" applyNumberFormat="1" applyFont="1" applyBorder="1"/>
    <xf numFmtId="164" fontId="18" fillId="0" borderId="10" xfId="1" applyNumberFormat="1" applyFont="1" applyBorder="1"/>
    <xf numFmtId="0" fontId="18" fillId="0" borderId="28" xfId="0" applyFont="1" applyBorder="1" applyAlignment="1">
      <alignment horizontal="left" indent="1"/>
    </xf>
    <xf numFmtId="164" fontId="18" fillId="0" borderId="28" xfId="1" applyNumberFormat="1" applyFont="1" applyBorder="1" applyAlignment="1">
      <alignment horizontal="left" indent="1"/>
    </xf>
    <xf numFmtId="164" fontId="18" fillId="0" borderId="29" xfId="1" applyNumberFormat="1" applyFont="1" applyBorder="1" applyAlignment="1">
      <alignment horizontal="left" indent="1"/>
    </xf>
    <xf numFmtId="0" fontId="18" fillId="0" borderId="28" xfId="0" applyFont="1" applyBorder="1" applyAlignment="1">
      <alignment horizontal="left" indent="2"/>
    </xf>
    <xf numFmtId="0" fontId="18" fillId="0" borderId="28" xfId="0" applyFont="1" applyBorder="1" applyAlignment="1">
      <alignment horizontal="left" vertical="top" indent="2"/>
    </xf>
    <xf numFmtId="0" fontId="18" fillId="0" borderId="29" xfId="0" applyFont="1" applyBorder="1"/>
    <xf numFmtId="0" fontId="0" fillId="7" borderId="27" xfId="0" applyFill="1" applyBorder="1" applyAlignment="1">
      <alignment horizontal="left" indent="4"/>
    </xf>
    <xf numFmtId="164" fontId="0" fillId="0" borderId="0" xfId="1" applyNumberFormat="1" applyFont="1" applyBorder="1" applyAlignment="1" applyProtection="1">
      <alignment horizontal="left" indent="4"/>
      <protection locked="0"/>
    </xf>
    <xf numFmtId="10" fontId="14" fillId="0" borderId="0" xfId="2" applyNumberFormat="1" applyFont="1" applyFill="1" applyBorder="1"/>
    <xf numFmtId="167" fontId="14" fillId="0" borderId="0" xfId="0" applyNumberFormat="1" applyFont="1"/>
    <xf numFmtId="164" fontId="3" fillId="17" borderId="38" xfId="1" applyNumberFormat="1" applyFont="1" applyFill="1" applyBorder="1" applyAlignment="1">
      <alignment horizontal="left" vertical="center"/>
    </xf>
    <xf numFmtId="0" fontId="1" fillId="7" borderId="0" xfId="0" applyFont="1" applyFill="1"/>
    <xf numFmtId="164" fontId="3" fillId="17" borderId="59" xfId="1" applyNumberFormat="1" applyFont="1" applyFill="1" applyBorder="1" applyAlignment="1">
      <alignment horizontal="left" vertical="center"/>
    </xf>
    <xf numFmtId="0" fontId="1" fillId="0" borderId="0" xfId="0" applyFont="1"/>
    <xf numFmtId="0" fontId="1" fillId="7" borderId="0" xfId="0" applyFont="1" applyFill="1" applyAlignment="1">
      <alignment horizontal="left" wrapText="1"/>
    </xf>
    <xf numFmtId="164" fontId="3" fillId="17" borderId="9" xfId="1" applyNumberFormat="1" applyFont="1" applyFill="1" applyBorder="1" applyAlignment="1">
      <alignment horizontal="left" vertical="center"/>
    </xf>
    <xf numFmtId="0" fontId="3" fillId="17" borderId="9" xfId="0" applyFont="1" applyFill="1" applyBorder="1" applyAlignment="1">
      <alignment horizontal="center" wrapText="1"/>
    </xf>
    <xf numFmtId="164" fontId="1" fillId="7" borderId="39" xfId="1" applyNumberFormat="1" applyFont="1" applyFill="1" applyBorder="1" applyAlignment="1">
      <alignment horizontal="left"/>
    </xf>
    <xf numFmtId="43" fontId="1" fillId="7" borderId="39" xfId="1" applyFont="1" applyFill="1" applyBorder="1" applyAlignment="1">
      <alignment vertical="center" wrapText="1"/>
    </xf>
    <xf numFmtId="43" fontId="1" fillId="7" borderId="40" xfId="1" applyFont="1" applyFill="1" applyBorder="1" applyAlignment="1">
      <alignment vertical="center" wrapText="1"/>
    </xf>
    <xf numFmtId="164" fontId="3" fillId="7" borderId="9" xfId="1" applyNumberFormat="1" applyFont="1" applyFill="1" applyBorder="1" applyAlignment="1">
      <alignment horizontal="left" wrapText="1"/>
    </xf>
    <xf numFmtId="43" fontId="1" fillId="0" borderId="40" xfId="1" applyFont="1" applyFill="1" applyBorder="1" applyAlignment="1">
      <alignment vertical="center" wrapText="1"/>
    </xf>
    <xf numFmtId="164" fontId="1" fillId="0" borderId="0" xfId="1" applyNumberFormat="1" applyFont="1" applyFill="1" applyBorder="1" applyAlignment="1">
      <alignment horizontal="left" vertical="center"/>
    </xf>
    <xf numFmtId="164" fontId="3" fillId="0" borderId="0" xfId="1" applyNumberFormat="1" applyFont="1" applyFill="1" applyBorder="1" applyAlignment="1">
      <alignment horizontal="center" vertical="center" wrapText="1"/>
    </xf>
    <xf numFmtId="164" fontId="3" fillId="17" borderId="11" xfId="1" applyNumberFormat="1" applyFont="1" applyFill="1" applyBorder="1" applyAlignment="1">
      <alignment horizontal="center" vertical="center" wrapText="1"/>
    </xf>
    <xf numFmtId="164" fontId="1" fillId="7" borderId="38" xfId="1" applyNumberFormat="1" applyFont="1" applyFill="1" applyBorder="1" applyAlignment="1">
      <alignment horizontal="left"/>
    </xf>
    <xf numFmtId="167" fontId="1" fillId="7" borderId="11" xfId="4" applyNumberFormat="1" applyFont="1" applyFill="1" applyBorder="1" applyProtection="1"/>
    <xf numFmtId="167" fontId="1" fillId="7" borderId="15" xfId="4" applyNumberFormat="1" applyFont="1" applyFill="1" applyBorder="1" applyProtection="1"/>
    <xf numFmtId="167" fontId="3" fillId="7" borderId="15" xfId="4" applyNumberFormat="1" applyFont="1" applyFill="1" applyBorder="1" applyProtection="1"/>
    <xf numFmtId="10" fontId="3" fillId="7" borderId="6" xfId="2" applyNumberFormat="1" applyFont="1" applyFill="1" applyBorder="1"/>
    <xf numFmtId="164" fontId="3" fillId="0" borderId="6" xfId="1" applyNumberFormat="1" applyFont="1" applyBorder="1"/>
    <xf numFmtId="164" fontId="56" fillId="0" borderId="0" xfId="1" applyNumberFormat="1" applyFont="1" applyFill="1" applyBorder="1" applyAlignment="1">
      <alignment horizontal="left" vertical="top" wrapText="1"/>
    </xf>
    <xf numFmtId="0" fontId="3" fillId="17" borderId="60" xfId="0" applyFont="1" applyFill="1" applyBorder="1" applyAlignment="1">
      <alignment vertical="center" wrapText="1"/>
    </xf>
    <xf numFmtId="0" fontId="3" fillId="17" borderId="61" xfId="0" applyFont="1" applyFill="1" applyBorder="1" applyAlignment="1">
      <alignment horizontal="center" vertical="center" wrapText="1"/>
    </xf>
    <xf numFmtId="0" fontId="21" fillId="7" borderId="62" xfId="0" applyFont="1" applyFill="1" applyBorder="1" applyAlignment="1">
      <alignment horizontal="left" vertical="center" wrapText="1"/>
    </xf>
    <xf numFmtId="164" fontId="21" fillId="7" borderId="63" xfId="1" applyNumberFormat="1" applyFont="1" applyFill="1" applyBorder="1" applyAlignment="1">
      <alignment horizontal="center" vertical="center" wrapText="1"/>
    </xf>
    <xf numFmtId="10" fontId="21" fillId="7" borderId="63" xfId="2" applyNumberFormat="1" applyFont="1" applyFill="1" applyBorder="1" applyAlignment="1">
      <alignment horizontal="center" vertical="center" wrapText="1"/>
    </xf>
    <xf numFmtId="10" fontId="1" fillId="0" borderId="0" xfId="0" applyNumberFormat="1" applyFont="1"/>
    <xf numFmtId="0" fontId="21" fillId="7" borderId="34" xfId="0" applyFont="1" applyFill="1" applyBorder="1" applyAlignment="1">
      <alignment horizontal="left" vertical="center" wrapText="1"/>
    </xf>
    <xf numFmtId="164" fontId="21" fillId="7" borderId="39" xfId="1" applyNumberFormat="1" applyFont="1" applyFill="1" applyBorder="1" applyAlignment="1">
      <alignment horizontal="center" vertical="center" wrapText="1"/>
    </xf>
    <xf numFmtId="10" fontId="21" fillId="7" borderId="39" xfId="2" applyNumberFormat="1" applyFont="1" applyFill="1" applyBorder="1" applyAlignment="1">
      <alignment horizontal="center" vertical="center" wrapText="1"/>
    </xf>
    <xf numFmtId="0" fontId="21" fillId="7" borderId="20" xfId="0" applyFont="1" applyFill="1" applyBorder="1" applyAlignment="1">
      <alignment horizontal="left" vertical="center" wrapText="1"/>
    </xf>
    <xf numFmtId="164" fontId="21" fillId="7" borderId="40" xfId="1" applyNumberFormat="1" applyFont="1" applyFill="1" applyBorder="1" applyAlignment="1">
      <alignment horizontal="center" vertical="center" wrapText="1"/>
    </xf>
    <xf numFmtId="10" fontId="21" fillId="7" borderId="40" xfId="2" applyNumberFormat="1" applyFont="1" applyFill="1" applyBorder="1" applyAlignment="1">
      <alignment horizontal="center" vertical="center" wrapText="1"/>
    </xf>
    <xf numFmtId="10" fontId="1" fillId="7" borderId="38" xfId="2" applyNumberFormat="1" applyFont="1" applyFill="1" applyBorder="1"/>
    <xf numFmtId="10" fontId="1" fillId="7" borderId="39" xfId="2" applyNumberFormat="1" applyFont="1" applyFill="1" applyBorder="1"/>
    <xf numFmtId="10" fontId="0" fillId="7" borderId="40" xfId="2" applyNumberFormat="1" applyFont="1" applyFill="1" applyBorder="1"/>
    <xf numFmtId="0" fontId="23" fillId="0" borderId="0" xfId="0" applyFont="1"/>
    <xf numFmtId="0" fontId="34" fillId="15" borderId="30" xfId="0" applyFont="1" applyFill="1" applyBorder="1" applyAlignment="1">
      <alignment horizontal="center" vertical="center"/>
    </xf>
    <xf numFmtId="0" fontId="34" fillId="15" borderId="28" xfId="0" applyFont="1" applyFill="1" applyBorder="1" applyAlignment="1">
      <alignment horizontal="center" vertical="center"/>
    </xf>
    <xf numFmtId="0" fontId="34" fillId="15" borderId="31" xfId="0" applyFont="1" applyFill="1" applyBorder="1" applyAlignment="1">
      <alignment horizontal="center" vertical="center"/>
    </xf>
    <xf numFmtId="0" fontId="0" fillId="15" borderId="28" xfId="0" applyFill="1" applyBorder="1"/>
    <xf numFmtId="0" fontId="3" fillId="4" borderId="0" xfId="0" applyFont="1" applyFill="1" applyAlignment="1">
      <alignment horizontal="center" wrapText="1"/>
    </xf>
    <xf numFmtId="0" fontId="9" fillId="4" borderId="0" xfId="0" applyFont="1" applyFill="1" applyAlignment="1">
      <alignment horizontal="center" wrapText="1"/>
    </xf>
    <xf numFmtId="0" fontId="0" fillId="15" borderId="31" xfId="0" applyFill="1" applyBorder="1"/>
    <xf numFmtId="0" fontId="0" fillId="0" borderId="0" xfId="0" applyAlignment="1">
      <alignment horizontal="left" indent="4"/>
    </xf>
    <xf numFmtId="164" fontId="0" fillId="0" borderId="0" xfId="1" applyNumberFormat="1" applyFont="1" applyBorder="1" applyAlignment="1">
      <alignment horizontal="left" indent="4"/>
    </xf>
    <xf numFmtId="44" fontId="0" fillId="8" borderId="0" xfId="4" applyFont="1" applyFill="1" applyBorder="1"/>
    <xf numFmtId="167" fontId="3" fillId="4" borderId="0" xfId="4" applyNumberFormat="1" applyFont="1" applyFill="1" applyBorder="1"/>
    <xf numFmtId="0" fontId="0" fillId="8" borderId="0" xfId="0" applyFill="1"/>
    <xf numFmtId="0" fontId="0" fillId="11" borderId="0" xfId="0" applyFill="1"/>
    <xf numFmtId="0" fontId="0" fillId="12" borderId="0" xfId="0" applyFill="1"/>
    <xf numFmtId="0" fontId="0" fillId="0" borderId="29" xfId="0" applyBorder="1"/>
    <xf numFmtId="164" fontId="0" fillId="8" borderId="7" xfId="1" applyNumberFormat="1" applyFont="1" applyFill="1" applyBorder="1"/>
    <xf numFmtId="9" fontId="0" fillId="8" borderId="8" xfId="2" applyFont="1" applyFill="1" applyBorder="1"/>
    <xf numFmtId="0" fontId="23" fillId="7" borderId="0" xfId="0" applyFont="1" applyFill="1"/>
    <xf numFmtId="164" fontId="17" fillId="9" borderId="2" xfId="1" applyNumberFormat="1" applyFont="1" applyFill="1" applyBorder="1" applyAlignment="1">
      <alignment vertical="center"/>
    </xf>
    <xf numFmtId="164" fontId="18" fillId="9" borderId="2" xfId="1" applyNumberFormat="1" applyFont="1" applyFill="1" applyBorder="1" applyAlignment="1">
      <alignment vertical="center"/>
    </xf>
    <xf numFmtId="164" fontId="18" fillId="9" borderId="2" xfId="1" applyNumberFormat="1" applyFont="1" applyFill="1" applyBorder="1" applyAlignment="1" applyProtection="1">
      <alignment horizontal="center" vertical="center"/>
    </xf>
    <xf numFmtId="164" fontId="18" fillId="9" borderId="2" xfId="1" applyNumberFormat="1" applyFont="1" applyFill="1" applyBorder="1" applyAlignment="1">
      <alignment horizontal="right" vertical="center"/>
    </xf>
    <xf numFmtId="164" fontId="20" fillId="9" borderId="2" xfId="1" applyNumberFormat="1" applyFont="1" applyFill="1" applyBorder="1" applyAlignment="1">
      <alignment vertical="center"/>
    </xf>
    <xf numFmtId="164" fontId="0" fillId="0" borderId="34" xfId="1" applyNumberFormat="1" applyFont="1" applyBorder="1" applyProtection="1"/>
    <xf numFmtId="167" fontId="0" fillId="8" borderId="15" xfId="4" applyNumberFormat="1" applyFont="1" applyFill="1" applyBorder="1" applyProtection="1"/>
    <xf numFmtId="164" fontId="0" fillId="14" borderId="51" xfId="1" applyNumberFormat="1" applyFont="1" applyFill="1" applyBorder="1" applyProtection="1">
      <protection locked="0"/>
    </xf>
    <xf numFmtId="164" fontId="0" fillId="0" borderId="20" xfId="1" applyNumberFormat="1" applyFont="1" applyBorder="1" applyProtection="1"/>
    <xf numFmtId="164" fontId="0" fillId="0" borderId="49" xfId="1" applyNumberFormat="1" applyFont="1" applyBorder="1" applyProtection="1"/>
    <xf numFmtId="167" fontId="0" fillId="8" borderId="18" xfId="4" applyNumberFormat="1" applyFont="1" applyFill="1" applyBorder="1" applyProtection="1"/>
    <xf numFmtId="164" fontId="1" fillId="0" borderId="20" xfId="1" applyNumberFormat="1" applyFont="1" applyBorder="1"/>
    <xf numFmtId="0" fontId="0" fillId="0" borderId="49" xfId="0" applyBorder="1"/>
    <xf numFmtId="164" fontId="0" fillId="0" borderId="19" xfId="1" applyNumberFormat="1" applyFont="1" applyBorder="1" applyProtection="1"/>
    <xf numFmtId="164" fontId="0" fillId="0" borderId="37" xfId="1" applyNumberFormat="1" applyFont="1" applyBorder="1" applyProtection="1"/>
    <xf numFmtId="167" fontId="0" fillId="8" borderId="11" xfId="4" applyNumberFormat="1" applyFont="1" applyFill="1" applyBorder="1" applyProtection="1"/>
    <xf numFmtId="164" fontId="3" fillId="0" borderId="34" xfId="1" applyNumberFormat="1" applyFont="1" applyBorder="1" applyProtection="1"/>
    <xf numFmtId="2" fontId="3" fillId="4" borderId="15" xfId="4" applyNumberFormat="1" applyFont="1" applyFill="1" applyBorder="1" applyProtection="1"/>
    <xf numFmtId="164" fontId="0" fillId="8" borderId="0" xfId="1" applyNumberFormat="1" applyFont="1" applyFill="1" applyBorder="1" applyProtection="1"/>
    <xf numFmtId="167" fontId="0" fillId="4" borderId="15" xfId="4" applyNumberFormat="1" applyFont="1" applyFill="1" applyBorder="1" applyProtection="1"/>
    <xf numFmtId="167" fontId="3" fillId="4" borderId="15" xfId="4" applyNumberFormat="1" applyFont="1" applyFill="1" applyBorder="1" applyProtection="1"/>
    <xf numFmtId="43" fontId="3" fillId="4" borderId="15" xfId="1" applyFont="1" applyFill="1" applyBorder="1" applyProtection="1"/>
    <xf numFmtId="167" fontId="7" fillId="19" borderId="15" xfId="4" applyNumberFormat="1" applyFont="1" applyFill="1" applyBorder="1" applyProtection="1"/>
    <xf numFmtId="165" fontId="0" fillId="0" borderId="49" xfId="2" applyNumberFormat="1" applyFont="1" applyBorder="1" applyProtection="1"/>
    <xf numFmtId="10" fontId="0" fillId="4" borderId="18" xfId="2" applyNumberFormat="1" applyFont="1" applyFill="1" applyBorder="1" applyProtection="1"/>
    <xf numFmtId="164" fontId="0" fillId="7" borderId="0" xfId="1" applyNumberFormat="1" applyFont="1" applyFill="1" applyBorder="1" applyProtection="1"/>
    <xf numFmtId="164" fontId="0" fillId="15" borderId="28" xfId="1" applyNumberFormat="1" applyFont="1" applyFill="1" applyBorder="1"/>
    <xf numFmtId="164" fontId="0" fillId="15" borderId="31" xfId="1" applyNumberFormat="1" applyFont="1" applyFill="1" applyBorder="1"/>
    <xf numFmtId="164" fontId="3" fillId="15" borderId="28" xfId="1" applyNumberFormat="1" applyFont="1" applyFill="1" applyBorder="1"/>
    <xf numFmtId="164" fontId="3" fillId="15" borderId="31" xfId="1" applyNumberFormat="1" applyFont="1" applyFill="1" applyBorder="1"/>
    <xf numFmtId="164" fontId="1" fillId="15" borderId="28" xfId="1" applyNumberFormat="1" applyFont="1" applyFill="1" applyBorder="1"/>
    <xf numFmtId="164" fontId="1" fillId="15" borderId="31" xfId="1" applyNumberFormat="1" applyFont="1" applyFill="1" applyBorder="1"/>
    <xf numFmtId="164" fontId="7" fillId="15" borderId="28" xfId="1" applyNumberFormat="1" applyFont="1" applyFill="1" applyBorder="1"/>
    <xf numFmtId="164" fontId="7" fillId="15" borderId="31" xfId="1" applyNumberFormat="1" applyFont="1" applyFill="1" applyBorder="1"/>
    <xf numFmtId="0" fontId="2" fillId="0" borderId="0" xfId="0" applyFont="1"/>
    <xf numFmtId="164" fontId="0" fillId="15" borderId="32" xfId="1" applyNumberFormat="1" applyFont="1" applyFill="1" applyBorder="1"/>
    <xf numFmtId="10" fontId="0" fillId="7" borderId="0" xfId="2" applyNumberFormat="1" applyFont="1" applyFill="1" applyBorder="1" applyProtection="1"/>
    <xf numFmtId="164" fontId="34" fillId="7" borderId="0" xfId="1" applyNumberFormat="1" applyFont="1" applyFill="1" applyAlignment="1"/>
    <xf numFmtId="164" fontId="29" fillId="7" borderId="0" xfId="1" applyNumberFormat="1" applyFont="1" applyFill="1"/>
    <xf numFmtId="0" fontId="44" fillId="0" borderId="28" xfId="5" applyFont="1" applyBorder="1" applyAlignment="1">
      <alignment horizontal="left" indent="1"/>
    </xf>
    <xf numFmtId="0" fontId="59" fillId="0" borderId="28" xfId="0" applyFont="1" applyBorder="1" applyAlignment="1">
      <alignment horizontal="left" indent="1"/>
    </xf>
    <xf numFmtId="0" fontId="18" fillId="0" borderId="28" xfId="1" applyNumberFormat="1" applyFont="1" applyBorder="1" applyAlignment="1">
      <alignment horizontal="left" indent="1"/>
    </xf>
    <xf numFmtId="164" fontId="0" fillId="0" borderId="8" xfId="1" applyNumberFormat="1" applyFont="1" applyBorder="1"/>
    <xf numFmtId="164" fontId="3" fillId="0" borderId="3" xfId="1" applyNumberFormat="1" applyFont="1" applyBorder="1"/>
    <xf numFmtId="10" fontId="1" fillId="8" borderId="8" xfId="2" applyNumberFormat="1" applyFont="1" applyFill="1" applyBorder="1" applyAlignment="1" applyProtection="1">
      <alignment horizontal="center"/>
    </xf>
    <xf numFmtId="164" fontId="25" fillId="14" borderId="0" xfId="1" applyNumberFormat="1" applyFont="1" applyFill="1" applyBorder="1"/>
    <xf numFmtId="164" fontId="45" fillId="0" borderId="0" xfId="1" applyNumberFormat="1" applyFont="1" applyAlignment="1">
      <alignment horizontal="left" indent="4"/>
    </xf>
    <xf numFmtId="0" fontId="29" fillId="0" borderId="0" xfId="0" applyFont="1"/>
    <xf numFmtId="0" fontId="18" fillId="0" borderId="0" xfId="1" applyNumberFormat="1" applyFont="1" applyAlignment="1">
      <alignment horizontal="left" indent="5"/>
    </xf>
    <xf numFmtId="0" fontId="18" fillId="0" borderId="27" xfId="0" applyFont="1" applyBorder="1" applyAlignment="1">
      <alignment horizontal="left" indent="2"/>
    </xf>
    <xf numFmtId="0" fontId="54" fillId="0" borderId="10" xfId="0" applyFont="1" applyBorder="1" applyAlignment="1">
      <alignment horizontal="left" indent="2"/>
    </xf>
    <xf numFmtId="0" fontId="18" fillId="0" borderId="10" xfId="0" applyFont="1" applyBorder="1" applyAlignment="1">
      <alignment horizontal="left" indent="2"/>
    </xf>
    <xf numFmtId="0" fontId="18" fillId="0" borderId="30" xfId="0" applyFont="1" applyBorder="1" applyAlignment="1">
      <alignment horizontal="left" indent="2"/>
    </xf>
    <xf numFmtId="43" fontId="3" fillId="7" borderId="0" xfId="1" applyFont="1" applyFill="1" applyBorder="1" applyProtection="1">
      <protection locked="0"/>
    </xf>
    <xf numFmtId="164" fontId="0" fillId="0" borderId="0" xfId="1" applyNumberFormat="1" applyFont="1" applyBorder="1" applyAlignment="1"/>
    <xf numFmtId="164" fontId="0" fillId="0" borderId="0" xfId="1" applyNumberFormat="1" applyFont="1" applyBorder="1" applyAlignment="1">
      <alignment wrapText="1"/>
    </xf>
    <xf numFmtId="0" fontId="0" fillId="0" borderId="0" xfId="0" applyProtection="1">
      <protection locked="0"/>
    </xf>
    <xf numFmtId="0" fontId="2" fillId="0" borderId="0" xfId="0" applyFont="1" applyProtection="1">
      <protection locked="0"/>
    </xf>
    <xf numFmtId="164" fontId="0" fillId="0" borderId="0" xfId="1" applyNumberFormat="1" applyFont="1" applyBorder="1" applyAlignment="1" applyProtection="1">
      <alignment horizontal="right"/>
      <protection locked="0"/>
    </xf>
    <xf numFmtId="0" fontId="0" fillId="15" borderId="29" xfId="0" applyFill="1" applyBorder="1"/>
    <xf numFmtId="0" fontId="0" fillId="15" borderId="26" xfId="0" applyFill="1" applyBorder="1"/>
    <xf numFmtId="0" fontId="0" fillId="15" borderId="32" xfId="0" applyFill="1" applyBorder="1"/>
    <xf numFmtId="165" fontId="21" fillId="0" borderId="30" xfId="2" applyNumberFormat="1" applyFont="1" applyFill="1" applyBorder="1" applyAlignment="1">
      <alignment horizontal="center" vertical="center"/>
    </xf>
    <xf numFmtId="165" fontId="21" fillId="0" borderId="31" xfId="2" applyNumberFormat="1" applyFont="1" applyFill="1" applyBorder="1" applyAlignment="1">
      <alignment horizontal="center" vertical="center"/>
    </xf>
    <xf numFmtId="0" fontId="1" fillId="7" borderId="32" xfId="0" applyFont="1" applyFill="1" applyBorder="1"/>
    <xf numFmtId="167" fontId="14" fillId="7" borderId="0" xfId="4" applyNumberFormat="1" applyFont="1" applyFill="1" applyBorder="1"/>
    <xf numFmtId="173" fontId="0" fillId="14" borderId="8" xfId="4" applyNumberFormat="1" applyFont="1" applyFill="1" applyBorder="1" applyProtection="1">
      <protection locked="0"/>
    </xf>
    <xf numFmtId="10" fontId="0" fillId="14" borderId="51" xfId="2" applyNumberFormat="1" applyFont="1" applyFill="1" applyBorder="1" applyProtection="1">
      <protection locked="0"/>
    </xf>
    <xf numFmtId="165" fontId="21" fillId="7" borderId="30" xfId="2" applyNumberFormat="1" applyFont="1" applyFill="1" applyBorder="1" applyAlignment="1">
      <alignment horizontal="center" vertical="center" wrapText="1"/>
    </xf>
    <xf numFmtId="165" fontId="21" fillId="7" borderId="31" xfId="2" applyNumberFormat="1" applyFont="1" applyFill="1" applyBorder="1" applyAlignment="1">
      <alignment horizontal="center" vertical="center" wrapText="1"/>
    </xf>
    <xf numFmtId="165" fontId="21" fillId="7" borderId="32" xfId="2" applyNumberFormat="1" applyFont="1" applyFill="1" applyBorder="1" applyAlignment="1">
      <alignment horizontal="center" vertical="center" wrapText="1"/>
    </xf>
    <xf numFmtId="164" fontId="0" fillId="0" borderId="26" xfId="1" applyNumberFormat="1" applyFont="1" applyBorder="1"/>
    <xf numFmtId="167" fontId="1" fillId="8" borderId="26" xfId="4" applyNumberFormat="1" applyFont="1" applyFill="1" applyBorder="1"/>
    <xf numFmtId="164" fontId="14" fillId="0" borderId="64" xfId="1" applyNumberFormat="1" applyFont="1" applyBorder="1"/>
    <xf numFmtId="167" fontId="14" fillId="8" borderId="64" xfId="4" applyNumberFormat="1" applyFont="1" applyFill="1" applyBorder="1"/>
    <xf numFmtId="164" fontId="0" fillId="0" borderId="65" xfId="1" applyNumberFormat="1" applyFont="1" applyBorder="1"/>
    <xf numFmtId="164" fontId="3" fillId="0" borderId="20" xfId="1" applyNumberFormat="1" applyFont="1" applyBorder="1" applyProtection="1"/>
    <xf numFmtId="43" fontId="3" fillId="4" borderId="18" xfId="1" applyFont="1" applyFill="1" applyBorder="1" applyProtection="1"/>
    <xf numFmtId="164" fontId="0" fillId="0" borderId="20" xfId="1" applyNumberFormat="1" applyFont="1" applyFill="1" applyBorder="1" applyProtection="1"/>
    <xf numFmtId="164" fontId="0" fillId="0" borderId="49" xfId="1" applyNumberFormat="1" applyFont="1" applyFill="1" applyBorder="1" applyProtection="1"/>
    <xf numFmtId="2" fontId="0" fillId="0" borderId="49" xfId="1" applyNumberFormat="1" applyFont="1" applyFill="1" applyBorder="1" applyAlignment="1" applyProtection="1">
      <alignment horizontal="center" wrapText="1"/>
    </xf>
    <xf numFmtId="167" fontId="0" fillId="0" borderId="18" xfId="4" applyNumberFormat="1" applyFont="1" applyFill="1" applyBorder="1" applyProtection="1"/>
    <xf numFmtId="164" fontId="3" fillId="0" borderId="34" xfId="1" applyNumberFormat="1" applyFont="1" applyFill="1" applyBorder="1" applyProtection="1"/>
    <xf numFmtId="43" fontId="3" fillId="0" borderId="15" xfId="1" applyFont="1" applyFill="1" applyBorder="1" applyProtection="1"/>
    <xf numFmtId="164" fontId="0" fillId="7" borderId="19" xfId="1" applyNumberFormat="1" applyFont="1" applyFill="1" applyBorder="1" applyProtection="1"/>
    <xf numFmtId="164" fontId="0" fillId="7" borderId="37" xfId="1" applyNumberFormat="1" applyFont="1" applyFill="1" applyBorder="1" applyProtection="1"/>
    <xf numFmtId="2" fontId="0" fillId="7" borderId="37" xfId="1" applyNumberFormat="1" applyFont="1" applyFill="1" applyBorder="1" applyAlignment="1" applyProtection="1">
      <alignment horizontal="center" wrapText="1"/>
    </xf>
    <xf numFmtId="167" fontId="0" fillId="7" borderId="11" xfId="4" applyNumberFormat="1" applyFont="1" applyFill="1" applyBorder="1" applyProtection="1"/>
    <xf numFmtId="164" fontId="1" fillId="7" borderId="19" xfId="1" applyNumberFormat="1" applyFont="1" applyFill="1" applyBorder="1"/>
    <xf numFmtId="164" fontId="1" fillId="7" borderId="34" xfId="1" applyNumberFormat="1" applyFont="1" applyFill="1" applyBorder="1"/>
    <xf numFmtId="164" fontId="1" fillId="7" borderId="34" xfId="1" applyNumberFormat="1" applyFont="1" applyFill="1" applyBorder="1" applyProtection="1"/>
    <xf numFmtId="164" fontId="1" fillId="7" borderId="20" xfId="1" applyNumberFormat="1" applyFont="1" applyFill="1" applyBorder="1" applyProtection="1"/>
    <xf numFmtId="167" fontId="1" fillId="14" borderId="51" xfId="4" applyNumberFormat="1" applyFont="1" applyFill="1" applyBorder="1" applyProtection="1">
      <protection locked="0"/>
    </xf>
    <xf numFmtId="164" fontId="1" fillId="14" borderId="51" xfId="1" applyNumberFormat="1" applyFont="1" applyFill="1" applyBorder="1" applyProtection="1">
      <protection locked="0"/>
    </xf>
    <xf numFmtId="164" fontId="1" fillId="14" borderId="54" xfId="1" applyNumberFormat="1" applyFont="1" applyFill="1" applyBorder="1" applyProtection="1">
      <protection locked="0"/>
    </xf>
    <xf numFmtId="10" fontId="1" fillId="14" borderId="25" xfId="2" applyNumberFormat="1" applyFont="1" applyFill="1" applyBorder="1" applyProtection="1">
      <protection locked="0"/>
    </xf>
    <xf numFmtId="164" fontId="31" fillId="0" borderId="34" xfId="1" applyNumberFormat="1" applyFont="1" applyBorder="1" applyProtection="1"/>
    <xf numFmtId="43" fontId="3" fillId="17" borderId="15" xfId="1" applyFont="1" applyFill="1" applyBorder="1" applyAlignment="1" applyProtection="1">
      <alignment horizontal="right"/>
    </xf>
    <xf numFmtId="164" fontId="0" fillId="0" borderId="19" xfId="1" applyNumberFormat="1" applyFont="1" applyBorder="1" applyProtection="1">
      <protection locked="0"/>
    </xf>
    <xf numFmtId="0" fontId="0" fillId="0" borderId="37" xfId="0" applyBorder="1" applyProtection="1">
      <protection locked="0"/>
    </xf>
    <xf numFmtId="167" fontId="0" fillId="8" borderId="11" xfId="4" applyNumberFormat="1" applyFont="1" applyFill="1" applyBorder="1" applyProtection="1">
      <protection locked="0"/>
    </xf>
    <xf numFmtId="164" fontId="0" fillId="0" borderId="34" xfId="1" applyNumberFormat="1" applyFont="1" applyBorder="1" applyProtection="1">
      <protection locked="0"/>
    </xf>
    <xf numFmtId="10" fontId="0" fillId="8" borderId="15" xfId="2" applyNumberFormat="1" applyFont="1" applyFill="1" applyBorder="1" applyProtection="1">
      <protection locked="0"/>
    </xf>
    <xf numFmtId="0" fontId="0" fillId="8" borderId="15" xfId="4" applyNumberFormat="1" applyFont="1" applyFill="1" applyBorder="1" applyProtection="1">
      <protection locked="0"/>
    </xf>
    <xf numFmtId="167" fontId="0" fillId="8" borderId="15" xfId="4" applyNumberFormat="1" applyFont="1" applyFill="1" applyBorder="1" applyProtection="1">
      <protection locked="0"/>
    </xf>
    <xf numFmtId="2" fontId="0" fillId="4" borderId="15" xfId="4" applyNumberFormat="1" applyFont="1" applyFill="1" applyBorder="1" applyProtection="1">
      <protection locked="0"/>
    </xf>
    <xf numFmtId="164" fontId="48" fillId="7" borderId="34" xfId="1" applyNumberFormat="1" applyFont="1" applyFill="1" applyBorder="1" applyProtection="1"/>
    <xf numFmtId="43" fontId="25" fillId="17" borderId="15" xfId="1" applyFont="1" applyFill="1" applyBorder="1" applyAlignment="1" applyProtection="1">
      <alignment horizontal="right"/>
    </xf>
    <xf numFmtId="164" fontId="3" fillId="0" borderId="20" xfId="1" applyNumberFormat="1" applyFont="1" applyBorder="1" applyProtection="1">
      <protection locked="0"/>
    </xf>
    <xf numFmtId="0" fontId="0" fillId="0" borderId="49" xfId="0" applyBorder="1" applyProtection="1">
      <protection locked="0"/>
    </xf>
    <xf numFmtId="164" fontId="0" fillId="8" borderId="49" xfId="1" applyNumberFormat="1" applyFont="1" applyFill="1" applyBorder="1" applyProtection="1">
      <protection locked="0"/>
    </xf>
    <xf numFmtId="43" fontId="0" fillId="8" borderId="49" xfId="1" applyFont="1" applyFill="1" applyBorder="1" applyProtection="1">
      <protection locked="0"/>
    </xf>
    <xf numFmtId="167" fontId="0" fillId="4" borderId="18" xfId="4" applyNumberFormat="1" applyFont="1" applyFill="1" applyBorder="1" applyProtection="1">
      <protection locked="0"/>
    </xf>
    <xf numFmtId="164" fontId="3" fillId="0" borderId="19" xfId="1" applyNumberFormat="1" applyFont="1" applyBorder="1" applyProtection="1">
      <protection locked="0"/>
    </xf>
    <xf numFmtId="164" fontId="0" fillId="0" borderId="37" xfId="1" applyNumberFormat="1" applyFont="1" applyBorder="1" applyProtection="1">
      <protection locked="0"/>
    </xf>
    <xf numFmtId="167" fontId="3" fillId="4" borderId="11" xfId="4" applyNumberFormat="1" applyFont="1" applyFill="1" applyBorder="1" applyProtection="1">
      <protection locked="0"/>
    </xf>
    <xf numFmtId="164" fontId="0" fillId="0" borderId="49" xfId="1" applyNumberFormat="1" applyFont="1" applyBorder="1" applyProtection="1">
      <protection locked="0"/>
    </xf>
    <xf numFmtId="43" fontId="3" fillId="4" borderId="18" xfId="1" applyFont="1" applyFill="1" applyBorder="1" applyProtection="1">
      <protection locked="0"/>
    </xf>
    <xf numFmtId="164" fontId="17" fillId="0" borderId="0" xfId="1" applyNumberFormat="1" applyFont="1" applyFill="1" applyBorder="1" applyAlignment="1">
      <alignment vertical="center"/>
    </xf>
    <xf numFmtId="164" fontId="18" fillId="0" borderId="0" xfId="1" applyNumberFormat="1" applyFont="1" applyFill="1" applyBorder="1" applyAlignment="1">
      <alignment vertical="center"/>
    </xf>
    <xf numFmtId="164" fontId="18" fillId="0" borderId="0" xfId="1" applyNumberFormat="1" applyFont="1" applyFill="1" applyBorder="1" applyAlignment="1" applyProtection="1">
      <alignment horizontal="center" vertical="center"/>
    </xf>
    <xf numFmtId="164" fontId="18" fillId="0" borderId="0" xfId="1" applyNumberFormat="1" applyFont="1" applyFill="1" applyBorder="1" applyAlignment="1">
      <alignment horizontal="right" vertical="center"/>
    </xf>
    <xf numFmtId="164" fontId="20" fillId="0" borderId="0" xfId="1" applyNumberFormat="1" applyFont="1" applyFill="1" applyBorder="1" applyAlignment="1">
      <alignment vertical="center"/>
    </xf>
    <xf numFmtId="164" fontId="3" fillId="7" borderId="34" xfId="1" applyNumberFormat="1" applyFont="1" applyFill="1" applyBorder="1"/>
    <xf numFmtId="164" fontId="31" fillId="0" borderId="0" xfId="1" applyNumberFormat="1" applyFont="1" applyBorder="1" applyAlignment="1" applyProtection="1">
      <alignment horizontal="left"/>
    </xf>
    <xf numFmtId="0" fontId="21" fillId="0" borderId="5" xfId="0" applyFont="1" applyBorder="1"/>
    <xf numFmtId="164" fontId="6" fillId="0" borderId="0" xfId="1" applyNumberFormat="1" applyFont="1" applyBorder="1" applyAlignment="1">
      <alignment horizontal="center"/>
    </xf>
    <xf numFmtId="167" fontId="21" fillId="14" borderId="8" xfId="4" applyNumberFormat="1" applyFont="1" applyFill="1" applyBorder="1" applyProtection="1">
      <protection locked="0"/>
    </xf>
    <xf numFmtId="164" fontId="21" fillId="13" borderId="7" xfId="1" applyNumberFormat="1" applyFont="1" applyFill="1" applyBorder="1"/>
    <xf numFmtId="164" fontId="21" fillId="5" borderId="7" xfId="1" applyNumberFormat="1" applyFont="1" applyFill="1" applyBorder="1" applyProtection="1"/>
    <xf numFmtId="164" fontId="21" fillId="5" borderId="8" xfId="1" applyNumberFormat="1" applyFont="1" applyFill="1" applyBorder="1" applyProtection="1"/>
    <xf numFmtId="164" fontId="21" fillId="5" borderId="7" xfId="1" applyNumberFormat="1" applyFont="1" applyFill="1" applyBorder="1" applyProtection="1">
      <protection locked="0"/>
    </xf>
    <xf numFmtId="10" fontId="21" fillId="8" borderId="8" xfId="2" applyNumberFormat="1" applyFont="1" applyFill="1" applyBorder="1" applyAlignment="1" applyProtection="1">
      <alignment horizontal="center"/>
    </xf>
    <xf numFmtId="0" fontId="0" fillId="0" borderId="0" xfId="0" applyAlignment="1">
      <alignment vertical="center" wrapText="1"/>
    </xf>
    <xf numFmtId="0" fontId="0" fillId="0" borderId="0" xfId="0" applyAlignment="1">
      <alignment horizontal="center" vertical="top" wrapText="1"/>
    </xf>
    <xf numFmtId="164" fontId="17" fillId="9" borderId="1" xfId="1" applyNumberFormat="1" applyFont="1" applyFill="1" applyBorder="1" applyAlignment="1">
      <alignment horizontal="center"/>
    </xf>
    <xf numFmtId="164" fontId="17" fillId="9" borderId="2" xfId="1" applyNumberFormat="1" applyFont="1" applyFill="1" applyBorder="1" applyAlignment="1">
      <alignment horizontal="center"/>
    </xf>
    <xf numFmtId="164" fontId="17" fillId="9" borderId="3" xfId="1" applyNumberFormat="1" applyFont="1" applyFill="1" applyBorder="1" applyAlignment="1">
      <alignment horizontal="center"/>
    </xf>
    <xf numFmtId="164" fontId="50" fillId="16" borderId="1" xfId="1" applyNumberFormat="1" applyFont="1" applyFill="1" applyBorder="1" applyAlignment="1">
      <alignment horizontal="center"/>
    </xf>
    <xf numFmtId="164" fontId="50" fillId="16" borderId="2" xfId="1" applyNumberFormat="1" applyFont="1" applyFill="1" applyBorder="1" applyAlignment="1">
      <alignment horizontal="center"/>
    </xf>
    <xf numFmtId="164" fontId="50" fillId="16" borderId="3" xfId="1" applyNumberFormat="1" applyFont="1" applyFill="1" applyBorder="1" applyAlignment="1">
      <alignment horizontal="center"/>
    </xf>
    <xf numFmtId="0" fontId="51" fillId="7" borderId="29" xfId="0" applyFont="1" applyFill="1" applyBorder="1" applyAlignment="1">
      <alignment horizontal="left" vertical="top" wrapText="1"/>
    </xf>
    <xf numFmtId="0" fontId="51" fillId="7" borderId="26" xfId="0" applyFont="1" applyFill="1" applyBorder="1" applyAlignment="1">
      <alignment horizontal="left" vertical="top" wrapText="1"/>
    </xf>
    <xf numFmtId="0" fontId="51" fillId="7" borderId="32" xfId="0" applyFont="1" applyFill="1" applyBorder="1" applyAlignment="1">
      <alignment horizontal="left" vertical="top" wrapText="1"/>
    </xf>
    <xf numFmtId="0" fontId="0" fillId="0" borderId="38"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4" borderId="1" xfId="0" applyFont="1" applyFill="1" applyBorder="1" applyAlignment="1">
      <alignment horizontal="left" wrapText="1"/>
    </xf>
    <xf numFmtId="0" fontId="3" fillId="4" borderId="2" xfId="0" applyFont="1" applyFill="1" applyBorder="1" applyAlignment="1">
      <alignment horizontal="left" wrapText="1"/>
    </xf>
    <xf numFmtId="0" fontId="19" fillId="4" borderId="1" xfId="5" applyFill="1" applyBorder="1" applyAlignment="1">
      <alignment horizontal="left" wrapText="1"/>
    </xf>
    <xf numFmtId="0" fontId="19" fillId="4" borderId="2" xfId="5" applyFill="1" applyBorder="1" applyAlignment="1">
      <alignment horizontal="left" wrapText="1"/>
    </xf>
    <xf numFmtId="0" fontId="19" fillId="4" borderId="1" xfId="5" applyFill="1" applyBorder="1" applyAlignment="1">
      <alignment wrapText="1"/>
    </xf>
    <xf numFmtId="0" fontId="19" fillId="4" borderId="2" xfId="5" applyFill="1" applyBorder="1" applyAlignment="1">
      <alignment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34" fillId="15" borderId="0" xfId="0" applyFont="1" applyFill="1" applyAlignment="1">
      <alignment horizontal="center" vertical="top" wrapText="1"/>
    </xf>
    <xf numFmtId="0" fontId="34" fillId="15" borderId="0" xfId="0" applyFont="1" applyFill="1" applyAlignment="1">
      <alignment horizontal="center" vertical="top"/>
    </xf>
    <xf numFmtId="0" fontId="40" fillId="0" borderId="0" xfId="0" applyFont="1" applyAlignment="1">
      <alignment horizontal="center" vertical="center" wrapText="1"/>
    </xf>
    <xf numFmtId="0" fontId="37" fillId="16" borderId="1" xfId="0" applyFont="1" applyFill="1" applyBorder="1" applyAlignment="1">
      <alignment horizontal="center" vertical="center" wrapText="1"/>
    </xf>
    <xf numFmtId="0" fontId="37" fillId="16" borderId="2" xfId="0" applyFont="1" applyFill="1" applyBorder="1" applyAlignment="1">
      <alignment horizontal="center" vertical="center" wrapText="1"/>
    </xf>
    <xf numFmtId="0" fontId="37" fillId="16" borderId="3" xfId="0" applyFont="1" applyFill="1" applyBorder="1" applyAlignment="1">
      <alignment horizontal="center" vertical="center" wrapText="1"/>
    </xf>
    <xf numFmtId="0" fontId="14" fillId="15" borderId="1"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165" fontId="14" fillId="7" borderId="0" xfId="0" applyNumberFormat="1" applyFont="1" applyFill="1" applyAlignment="1">
      <alignment horizont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65" fontId="14" fillId="7" borderId="1" xfId="0" applyNumberFormat="1" applyFont="1" applyFill="1" applyBorder="1" applyAlignment="1">
      <alignment horizontal="center"/>
    </xf>
    <xf numFmtId="165" fontId="14" fillId="7" borderId="2" xfId="0" applyNumberFormat="1" applyFont="1" applyFill="1" applyBorder="1" applyAlignment="1">
      <alignment horizontal="center"/>
    </xf>
    <xf numFmtId="165" fontId="14" fillId="7" borderId="3" xfId="0" applyNumberFormat="1" applyFont="1" applyFill="1" applyBorder="1" applyAlignment="1">
      <alignment horizontal="center"/>
    </xf>
    <xf numFmtId="0" fontId="14" fillId="4" borderId="2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34" fillId="15" borderId="0" xfId="0" applyFont="1" applyFill="1" applyAlignment="1">
      <alignment horizontal="center" vertical="center"/>
    </xf>
    <xf numFmtId="0" fontId="0" fillId="15" borderId="0" xfId="0" applyFill="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18" fillId="0" borderId="10" xfId="0" applyFont="1" applyBorder="1" applyAlignment="1">
      <alignment horizontal="left" wrapText="1"/>
    </xf>
    <xf numFmtId="164" fontId="18" fillId="0" borderId="1" xfId="1" applyNumberFormat="1" applyFont="1" applyBorder="1" applyAlignment="1">
      <alignment horizontal="center"/>
    </xf>
    <xf numFmtId="164" fontId="18" fillId="0" borderId="2" xfId="1" applyNumberFormat="1" applyFont="1" applyBorder="1" applyAlignment="1">
      <alignment horizontal="center"/>
    </xf>
    <xf numFmtId="164" fontId="18" fillId="0" borderId="3" xfId="1" applyNumberFormat="1" applyFont="1" applyBorder="1" applyAlignment="1">
      <alignment horizontal="center"/>
    </xf>
    <xf numFmtId="164" fontId="44" fillId="9" borderId="1" xfId="5" applyNumberFormat="1" applyFont="1" applyFill="1" applyBorder="1" applyAlignment="1">
      <alignment horizontal="center"/>
    </xf>
    <xf numFmtId="164" fontId="44" fillId="9" borderId="2" xfId="5" applyNumberFormat="1" applyFont="1" applyFill="1" applyBorder="1" applyAlignment="1">
      <alignment horizontal="center"/>
    </xf>
    <xf numFmtId="164" fontId="44" fillId="9" borderId="3" xfId="5" applyNumberFormat="1" applyFont="1" applyFill="1" applyBorder="1" applyAlignment="1">
      <alignment horizontal="center"/>
    </xf>
    <xf numFmtId="0" fontId="0" fillId="0" borderId="34" xfId="0" applyBorder="1" applyAlignment="1">
      <alignment horizontal="center"/>
    </xf>
    <xf numFmtId="0" fontId="0" fillId="0" borderId="0" xfId="0" applyAlignment="1">
      <alignment horizontal="center"/>
    </xf>
    <xf numFmtId="0" fontId="3" fillId="17" borderId="4" xfId="0" applyFont="1" applyFill="1" applyBorder="1" applyAlignment="1">
      <alignment horizontal="center" wrapText="1"/>
    </xf>
    <xf numFmtId="0" fontId="3" fillId="17" borderId="6" xfId="0" applyFont="1" applyFill="1" applyBorder="1" applyAlignment="1">
      <alignment horizontal="center" wrapText="1"/>
    </xf>
    <xf numFmtId="43" fontId="1" fillId="7" borderId="34" xfId="1" applyFont="1" applyFill="1" applyBorder="1" applyAlignment="1">
      <alignment horizontal="center" vertical="center" wrapText="1"/>
    </xf>
    <xf numFmtId="43" fontId="1" fillId="7" borderId="15" xfId="1" applyFont="1" applyFill="1" applyBorder="1" applyAlignment="1">
      <alignment horizontal="center" vertical="center" wrapText="1"/>
    </xf>
    <xf numFmtId="43" fontId="1" fillId="7" borderId="20" xfId="1" applyFont="1" applyFill="1" applyBorder="1" applyAlignment="1">
      <alignment horizontal="center" vertical="center" wrapText="1"/>
    </xf>
    <xf numFmtId="43" fontId="1" fillId="7" borderId="18" xfId="1" applyFont="1" applyFill="1"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43" fontId="1" fillId="0" borderId="20" xfId="1" applyFont="1" applyFill="1" applyBorder="1" applyAlignment="1">
      <alignment horizontal="center" vertical="center" wrapText="1"/>
    </xf>
    <xf numFmtId="43" fontId="1" fillId="0" borderId="18" xfId="1" applyFont="1" applyFill="1" applyBorder="1" applyAlignment="1">
      <alignment horizontal="center" vertical="center" wrapText="1"/>
    </xf>
    <xf numFmtId="164" fontId="34" fillId="15" borderId="0" xfId="1" applyNumberFormat="1" applyFont="1" applyFill="1" applyBorder="1" applyAlignment="1">
      <alignment horizontal="center"/>
    </xf>
    <xf numFmtId="0" fontId="1" fillId="0" borderId="34" xfId="0" applyFont="1" applyBorder="1" applyAlignment="1">
      <alignment horizontal="center"/>
    </xf>
    <xf numFmtId="0" fontId="1" fillId="0" borderId="0" xfId="0" applyFont="1" applyAlignment="1">
      <alignment horizontal="center"/>
    </xf>
    <xf numFmtId="164" fontId="37" fillId="9" borderId="1" xfId="1" applyNumberFormat="1" applyFont="1" applyFill="1" applyBorder="1" applyAlignment="1">
      <alignment horizontal="center"/>
    </xf>
    <xf numFmtId="164" fontId="37" fillId="9" borderId="2" xfId="1" applyNumberFormat="1" applyFont="1" applyFill="1" applyBorder="1" applyAlignment="1">
      <alignment horizontal="center"/>
    </xf>
    <xf numFmtId="164" fontId="37" fillId="9" borderId="3" xfId="1" applyNumberFormat="1" applyFont="1" applyFill="1" applyBorder="1" applyAlignment="1">
      <alignment horizontal="center"/>
    </xf>
    <xf numFmtId="164" fontId="55" fillId="0" borderId="1" xfId="1" applyNumberFormat="1" applyFont="1" applyBorder="1" applyAlignment="1">
      <alignment horizontal="center"/>
    </xf>
    <xf numFmtId="164" fontId="55" fillId="0" borderId="2" xfId="1" applyNumberFormat="1" applyFont="1" applyBorder="1" applyAlignment="1">
      <alignment horizontal="center"/>
    </xf>
    <xf numFmtId="164" fontId="55" fillId="0" borderId="3" xfId="1" applyNumberFormat="1" applyFont="1" applyBorder="1" applyAlignment="1">
      <alignment horizontal="center"/>
    </xf>
    <xf numFmtId="0" fontId="18" fillId="0" borderId="0" xfId="1" applyNumberFormat="1" applyFont="1" applyAlignment="1">
      <alignment horizontal="left" wrapText="1"/>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164" fontId="56" fillId="0" borderId="0" xfId="1" applyNumberFormat="1" applyFont="1" applyFill="1" applyBorder="1" applyAlignment="1">
      <alignment horizontal="left" vertical="top" wrapText="1"/>
    </xf>
    <xf numFmtId="0" fontId="3" fillId="7" borderId="44" xfId="0" applyFont="1" applyFill="1" applyBorder="1" applyAlignment="1">
      <alignment horizontal="center" wrapText="1"/>
    </xf>
    <xf numFmtId="0" fontId="3" fillId="7" borderId="5" xfId="0" applyFont="1" applyFill="1" applyBorder="1" applyAlignment="1">
      <alignment horizontal="center" wrapText="1"/>
    </xf>
    <xf numFmtId="0" fontId="3" fillId="7" borderId="6" xfId="0" applyFont="1" applyFill="1" applyBorder="1" applyAlignment="1">
      <alignment horizontal="center" wrapText="1"/>
    </xf>
    <xf numFmtId="0" fontId="34" fillId="15" borderId="27" xfId="0" applyFont="1" applyFill="1" applyBorder="1" applyAlignment="1">
      <alignment horizontal="center" vertical="center"/>
    </xf>
    <xf numFmtId="0" fontId="34" fillId="15" borderId="10" xfId="0" applyFont="1" applyFill="1" applyBorder="1" applyAlignment="1">
      <alignment horizontal="center" vertical="center"/>
    </xf>
    <xf numFmtId="0" fontId="7" fillId="0" borderId="27"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30"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32" xfId="0" applyFont="1" applyBorder="1" applyAlignment="1" applyProtection="1">
      <alignment horizontal="left" vertical="top" wrapText="1"/>
      <protection locked="0"/>
    </xf>
    <xf numFmtId="0" fontId="3" fillId="2" borderId="26" xfId="0" applyFont="1" applyFill="1" applyBorder="1" applyAlignment="1">
      <alignment horizontal="center"/>
    </xf>
    <xf numFmtId="174" fontId="0" fillId="0" borderId="1" xfId="0" applyNumberFormat="1" applyBorder="1" applyAlignment="1" applyProtection="1">
      <alignment wrapText="1"/>
      <protection locked="0"/>
    </xf>
    <xf numFmtId="174" fontId="0" fillId="0" borderId="2" xfId="0" applyNumberFormat="1" applyBorder="1" applyAlignment="1" applyProtection="1">
      <alignment wrapText="1"/>
      <protection locked="0"/>
    </xf>
    <xf numFmtId="174" fontId="0" fillId="0" borderId="3" xfId="0" applyNumberFormat="1" applyBorder="1" applyAlignment="1" applyProtection="1">
      <alignment wrapText="1"/>
      <protection locked="0"/>
    </xf>
    <xf numFmtId="167" fontId="0" fillId="0" borderId="1" xfId="0" applyNumberFormat="1" applyBorder="1" applyAlignment="1" applyProtection="1">
      <alignment wrapText="1"/>
      <protection locked="0"/>
    </xf>
    <xf numFmtId="44" fontId="0" fillId="0" borderId="1" xfId="0" applyNumberFormat="1" applyBorder="1" applyAlignment="1" applyProtection="1">
      <alignment wrapText="1"/>
      <protection locked="0"/>
    </xf>
    <xf numFmtId="164" fontId="3" fillId="7" borderId="37" xfId="1" applyNumberFormat="1" applyFont="1" applyFill="1" applyBorder="1" applyAlignment="1">
      <alignment horizontal="center" vertical="center" wrapText="1"/>
    </xf>
    <xf numFmtId="164" fontId="3" fillId="7" borderId="11" xfId="1" applyNumberFormat="1" applyFont="1" applyFill="1" applyBorder="1" applyAlignment="1">
      <alignment horizontal="center" vertical="center" wrapText="1"/>
    </xf>
    <xf numFmtId="164" fontId="3" fillId="7" borderId="57" xfId="1" applyNumberFormat="1" applyFont="1" applyFill="1" applyBorder="1" applyAlignment="1">
      <alignment horizontal="center" vertical="center" wrapText="1"/>
    </xf>
    <xf numFmtId="164" fontId="3" fillId="7" borderId="25" xfId="1" applyNumberFormat="1" applyFont="1" applyFill="1" applyBorder="1" applyAlignment="1">
      <alignment horizontal="center" vertical="center" wrapText="1"/>
    </xf>
    <xf numFmtId="0" fontId="3" fillId="18" borderId="1" xfId="0" applyFont="1" applyFill="1" applyBorder="1" applyAlignment="1">
      <alignment horizontal="center" wrapText="1"/>
    </xf>
    <xf numFmtId="0" fontId="3" fillId="18" borderId="2" xfId="0" applyFont="1" applyFill="1" applyBorder="1" applyAlignment="1">
      <alignment horizontal="center" wrapText="1"/>
    </xf>
    <xf numFmtId="0" fontId="3" fillId="18" borderId="3" xfId="0" applyFont="1" applyFill="1" applyBorder="1" applyAlignment="1">
      <alignment horizontal="center" wrapText="1"/>
    </xf>
    <xf numFmtId="0" fontId="34" fillId="15" borderId="29" xfId="0" applyFont="1" applyFill="1" applyBorder="1" applyAlignment="1">
      <alignment horizontal="center" vertical="center"/>
    </xf>
    <xf numFmtId="0" fontId="34" fillId="15" borderId="26" xfId="0" applyFont="1" applyFill="1" applyBorder="1" applyAlignment="1">
      <alignment horizontal="center" vertical="center"/>
    </xf>
    <xf numFmtId="164" fontId="0" fillId="0" borderId="0" xfId="1" applyNumberFormat="1" applyFont="1" applyFill="1" applyBorder="1" applyAlignment="1">
      <alignment horizontal="center"/>
    </xf>
    <xf numFmtId="164" fontId="3" fillId="9" borderId="4" xfId="1" applyNumberFormat="1" applyFont="1" applyFill="1" applyBorder="1" applyAlignment="1" applyProtection="1">
      <alignment horizontal="center"/>
    </xf>
    <xf numFmtId="164" fontId="3" fillId="9" borderId="5" xfId="1" applyNumberFormat="1" applyFont="1" applyFill="1" applyBorder="1" applyAlignment="1" applyProtection="1">
      <alignment horizontal="center"/>
    </xf>
    <xf numFmtId="164" fontId="3" fillId="9" borderId="6" xfId="1" applyNumberFormat="1" applyFont="1" applyFill="1" applyBorder="1" applyAlignment="1" applyProtection="1">
      <alignment horizontal="center"/>
    </xf>
    <xf numFmtId="164" fontId="17" fillId="0" borderId="0" xfId="1" applyNumberFormat="1" applyFont="1" applyBorder="1" applyAlignment="1">
      <alignment horizontal="left" vertical="center"/>
    </xf>
    <xf numFmtId="164" fontId="31" fillId="20" borderId="19" xfId="1" applyNumberFormat="1" applyFont="1" applyFill="1" applyBorder="1" applyAlignment="1">
      <alignment wrapText="1"/>
    </xf>
    <xf numFmtId="164" fontId="31" fillId="20" borderId="37" xfId="1" applyNumberFormat="1" applyFont="1" applyFill="1" applyBorder="1" applyAlignment="1">
      <alignment wrapText="1"/>
    </xf>
    <xf numFmtId="164" fontId="31" fillId="20" borderId="11" xfId="1" applyNumberFormat="1" applyFont="1" applyFill="1" applyBorder="1" applyAlignment="1">
      <alignment wrapText="1"/>
    </xf>
    <xf numFmtId="164" fontId="31" fillId="20" borderId="20" xfId="1" applyNumberFormat="1" applyFont="1" applyFill="1" applyBorder="1" applyAlignment="1">
      <alignment wrapText="1"/>
    </xf>
    <xf numFmtId="164" fontId="31" fillId="20" borderId="49" xfId="1" applyNumberFormat="1" applyFont="1" applyFill="1" applyBorder="1" applyAlignment="1">
      <alignment wrapText="1"/>
    </xf>
    <xf numFmtId="164" fontId="31" fillId="20" borderId="18" xfId="1" applyNumberFormat="1" applyFont="1" applyFill="1" applyBorder="1" applyAlignment="1">
      <alignment wrapText="1"/>
    </xf>
    <xf numFmtId="0" fontId="3" fillId="8" borderId="4" xfId="0" applyFont="1" applyFill="1" applyBorder="1" applyAlignment="1">
      <alignment horizontal="center"/>
    </xf>
    <xf numFmtId="0" fontId="3" fillId="8" borderId="5" xfId="0" applyFont="1" applyFill="1" applyBorder="1" applyAlignment="1">
      <alignment horizontal="center"/>
    </xf>
    <xf numFmtId="0" fontId="3" fillId="8" borderId="6" xfId="0" applyFont="1" applyFill="1" applyBorder="1" applyAlignment="1">
      <alignment horizontal="center"/>
    </xf>
    <xf numFmtId="0" fontId="0" fillId="7" borderId="8" xfId="0" applyFill="1" applyBorder="1" applyAlignment="1" applyProtection="1">
      <alignment vertical="top" wrapText="1"/>
      <protection locked="0"/>
    </xf>
    <xf numFmtId="0" fontId="3" fillId="7" borderId="8" xfId="0" applyFont="1" applyFill="1" applyBorder="1" applyAlignment="1">
      <alignment horizontal="center" wrapText="1"/>
    </xf>
    <xf numFmtId="173" fontId="0" fillId="14" borderId="7" xfId="4" applyNumberFormat="1" applyFont="1" applyFill="1" applyBorder="1" applyAlignment="1" applyProtection="1">
      <alignment horizontal="center" vertical="center"/>
      <protection locked="0"/>
    </xf>
    <xf numFmtId="173" fontId="0" fillId="14" borderId="12" xfId="4" applyNumberFormat="1" applyFont="1" applyFill="1" applyBorder="1" applyAlignment="1" applyProtection="1">
      <alignment horizontal="center" vertical="center"/>
      <protection locked="0"/>
    </xf>
  </cellXfs>
  <cellStyles count="6">
    <cellStyle name="Comma" xfId="1" builtinId="3"/>
    <cellStyle name="Comma 2" xfId="3" xr:uid="{00000000-0005-0000-0000-000001000000}"/>
    <cellStyle name="Currency" xfId="4" builtinId="4"/>
    <cellStyle name="Hyperlink" xfId="5" builtinId="8"/>
    <cellStyle name="Normal" xfId="0" builtinId="0"/>
    <cellStyle name="Percent" xfId="2" builtinId="5"/>
  </cellStyles>
  <dxfs count="43">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34998626667073579"/>
      </font>
    </dxf>
    <dxf>
      <font>
        <color theme="0" tint="-0.34998626667073579"/>
      </font>
    </dxf>
    <dxf>
      <fill>
        <patternFill>
          <bgColor rgb="FFFFC7CE"/>
        </patternFill>
      </fill>
    </dxf>
    <dxf>
      <fill>
        <patternFill>
          <bgColor rgb="FFFF0000"/>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33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33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66"/>
      <color rgb="FFFF6600"/>
      <color rgb="FFFF5050"/>
      <color rgb="FFFF3300"/>
      <color rgb="FFCC3300"/>
      <color rgb="FF00CC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163285</xdr:colOff>
      <xdr:row>26</xdr:row>
      <xdr:rowOff>32655</xdr:rowOff>
    </xdr:from>
    <xdr:to>
      <xdr:col>2</xdr:col>
      <xdr:colOff>553991</xdr:colOff>
      <xdr:row>28</xdr:row>
      <xdr:rowOff>44507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91885" y="5464626"/>
          <a:ext cx="1089932" cy="380697"/>
        </a:xfrm>
        <a:prstGeom prst="rect">
          <a:avLst/>
        </a:prstGeom>
      </xdr:spPr>
    </xdr:pic>
    <xdr:clientData/>
  </xdr:twoCellAnchor>
  <xdr:twoCellAnchor editAs="oneCell">
    <xdr:from>
      <xdr:col>8</xdr:col>
      <xdr:colOff>2374448</xdr:colOff>
      <xdr:row>25</xdr:row>
      <xdr:rowOff>108857</xdr:rowOff>
    </xdr:from>
    <xdr:to>
      <xdr:col>9</xdr:col>
      <xdr:colOff>97201</xdr:colOff>
      <xdr:row>30</xdr:row>
      <xdr:rowOff>10794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111219" y="5355771"/>
          <a:ext cx="1779315" cy="82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679450</xdr:colOff>
          <xdr:row>131</xdr:row>
          <xdr:rowOff>31750</xdr:rowOff>
        </xdr:from>
        <xdr:to>
          <xdr:col>1</xdr:col>
          <xdr:colOff>1600200</xdr:colOff>
          <xdr:row>132</xdr:row>
          <xdr:rowOff>184150</xdr:rowOff>
        </xdr:to>
        <xdr:sp macro="" textlink="">
          <xdr:nvSpPr>
            <xdr:cNvPr id="20481" name="Button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135</xdr:row>
          <xdr:rowOff>31750</xdr:rowOff>
        </xdr:from>
        <xdr:to>
          <xdr:col>1</xdr:col>
          <xdr:colOff>990600</xdr:colOff>
          <xdr:row>136</xdr:row>
          <xdr:rowOff>184150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1276350</xdr:colOff>
          <xdr:row>135</xdr:row>
          <xdr:rowOff>31750</xdr:rowOff>
        </xdr:from>
        <xdr:to>
          <xdr:col>1</xdr:col>
          <xdr:colOff>2228850</xdr:colOff>
          <xdr:row>136</xdr:row>
          <xdr:rowOff>184150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1289050</xdr:colOff>
          <xdr:row>131</xdr:row>
          <xdr:rowOff>31750</xdr:rowOff>
        </xdr:from>
        <xdr:to>
          <xdr:col>2</xdr:col>
          <xdr:colOff>2241550</xdr:colOff>
          <xdr:row>132</xdr:row>
          <xdr:rowOff>184150</xdr:rowOff>
        </xdr:to>
        <xdr:sp macro="" textlink="">
          <xdr:nvSpPr>
            <xdr:cNvPr id="20484" name="Button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131</xdr:row>
          <xdr:rowOff>31750</xdr:rowOff>
        </xdr:from>
        <xdr:to>
          <xdr:col>2</xdr:col>
          <xdr:colOff>1009650</xdr:colOff>
          <xdr:row>132</xdr:row>
          <xdr:rowOff>184150</xdr:rowOff>
        </xdr:to>
        <xdr:sp macro="" textlink="">
          <xdr:nvSpPr>
            <xdr:cNvPr id="20485" name="Button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135</xdr:row>
          <xdr:rowOff>31750</xdr:rowOff>
        </xdr:from>
        <xdr:to>
          <xdr:col>2</xdr:col>
          <xdr:colOff>990600</xdr:colOff>
          <xdr:row>136</xdr:row>
          <xdr:rowOff>184150</xdr:rowOff>
        </xdr:to>
        <xdr:sp macro="" textlink="">
          <xdr:nvSpPr>
            <xdr:cNvPr id="20486" name="Button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679450</xdr:colOff>
          <xdr:row>177</xdr:row>
          <xdr:rowOff>31750</xdr:rowOff>
        </xdr:from>
        <xdr:to>
          <xdr:col>1</xdr:col>
          <xdr:colOff>1600200</xdr:colOff>
          <xdr:row>178</xdr:row>
          <xdr:rowOff>184150</xdr:rowOff>
        </xdr:to>
        <xdr:sp macro="" textlink="">
          <xdr:nvSpPr>
            <xdr:cNvPr id="20487" name="Button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181</xdr:row>
          <xdr:rowOff>31750</xdr:rowOff>
        </xdr:from>
        <xdr:to>
          <xdr:col>1</xdr:col>
          <xdr:colOff>990600</xdr:colOff>
          <xdr:row>182</xdr:row>
          <xdr:rowOff>184150</xdr:rowOff>
        </xdr:to>
        <xdr:sp macro="" textlink="">
          <xdr:nvSpPr>
            <xdr:cNvPr id="20488" name="Button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1276350</xdr:colOff>
          <xdr:row>181</xdr:row>
          <xdr:rowOff>31750</xdr:rowOff>
        </xdr:from>
        <xdr:to>
          <xdr:col>1</xdr:col>
          <xdr:colOff>2228850</xdr:colOff>
          <xdr:row>182</xdr:row>
          <xdr:rowOff>184150</xdr:rowOff>
        </xdr:to>
        <xdr:sp macro="" textlink="">
          <xdr:nvSpPr>
            <xdr:cNvPr id="20489" name="Button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1289050</xdr:colOff>
          <xdr:row>177</xdr:row>
          <xdr:rowOff>31750</xdr:rowOff>
        </xdr:from>
        <xdr:to>
          <xdr:col>2</xdr:col>
          <xdr:colOff>2241550</xdr:colOff>
          <xdr:row>178</xdr:row>
          <xdr:rowOff>184150</xdr:rowOff>
        </xdr:to>
        <xdr:sp macro="" textlink="">
          <xdr:nvSpPr>
            <xdr:cNvPr id="20490" name="Button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177</xdr:row>
          <xdr:rowOff>31750</xdr:rowOff>
        </xdr:from>
        <xdr:to>
          <xdr:col>2</xdr:col>
          <xdr:colOff>1009650</xdr:colOff>
          <xdr:row>178</xdr:row>
          <xdr:rowOff>184150</xdr:rowOff>
        </xdr:to>
        <xdr:sp macro="" textlink="">
          <xdr:nvSpPr>
            <xdr:cNvPr id="20491" name="Button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38100</xdr:colOff>
          <xdr:row>181</xdr:row>
          <xdr:rowOff>31750</xdr:rowOff>
        </xdr:from>
        <xdr:to>
          <xdr:col>2</xdr:col>
          <xdr:colOff>990600</xdr:colOff>
          <xdr:row>182</xdr:row>
          <xdr:rowOff>184150</xdr:rowOff>
        </xdr:to>
        <xdr:sp macro="" textlink="">
          <xdr:nvSpPr>
            <xdr:cNvPr id="20492" name="Button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xdr:twoCellAnchor>
    <xdr:from>
      <xdr:col>1</xdr:col>
      <xdr:colOff>676275</xdr:colOff>
      <xdr:row>186</xdr:row>
      <xdr:rowOff>28575</xdr:rowOff>
    </xdr:from>
    <xdr:to>
      <xdr:col>1</xdr:col>
      <xdr:colOff>1600200</xdr:colOff>
      <xdr:row>187</xdr:row>
      <xdr:rowOff>180975</xdr:rowOff>
    </xdr:to>
    <xdr:sp macro="" textlink="">
      <xdr:nvSpPr>
        <xdr:cNvPr id="23" name="Button 1" hidden="1">
          <a:extLst>
            <a:ext uri="{63B3BB69-23CF-44E3-9099-C40C66FF867C}">
              <a14:compatExt xmlns:a14="http://schemas.microsoft.com/office/drawing/2010/main" spid="_x0000_s13313"/>
            </a:ext>
            <a:ext uri="{FF2B5EF4-FFF2-40B4-BE49-F238E27FC236}">
              <a16:creationId xmlns:a16="http://schemas.microsoft.com/office/drawing/2014/main" id="{00000000-0008-0000-0100-000017000000}"/>
            </a:ext>
          </a:extLst>
        </xdr:cNvPr>
        <xdr:cNvSpPr/>
      </xdr:nvSpPr>
      <xdr:spPr bwMode="auto">
        <a:xfrm>
          <a:off x="859155" y="19711035"/>
          <a:ext cx="923925"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1</xdr:col>
      <xdr:colOff>38100</xdr:colOff>
      <xdr:row>193</xdr:row>
      <xdr:rowOff>28575</xdr:rowOff>
    </xdr:from>
    <xdr:to>
      <xdr:col>1</xdr:col>
      <xdr:colOff>990600</xdr:colOff>
      <xdr:row>194</xdr:row>
      <xdr:rowOff>180975</xdr:rowOff>
    </xdr:to>
    <xdr:sp macro="" textlink="">
      <xdr:nvSpPr>
        <xdr:cNvPr id="24" name="Button 2" hidden="1">
          <a:extLst>
            <a:ext uri="{63B3BB69-23CF-44E3-9099-C40C66FF867C}">
              <a14:compatExt xmlns:a14="http://schemas.microsoft.com/office/drawing/2010/main" spid="_x0000_s13314"/>
            </a:ext>
            <a:ext uri="{FF2B5EF4-FFF2-40B4-BE49-F238E27FC236}">
              <a16:creationId xmlns:a16="http://schemas.microsoft.com/office/drawing/2014/main" id="{00000000-0008-0000-0100-000018000000}"/>
            </a:ext>
          </a:extLst>
        </xdr:cNvPr>
        <xdr:cNvSpPr/>
      </xdr:nvSpPr>
      <xdr:spPr bwMode="auto">
        <a:xfrm>
          <a:off x="220980" y="21311235"/>
          <a:ext cx="95250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twoCellAnchor>
    <xdr:from>
      <xdr:col>1</xdr:col>
      <xdr:colOff>1266825</xdr:colOff>
      <xdr:row>193</xdr:row>
      <xdr:rowOff>28575</xdr:rowOff>
    </xdr:from>
    <xdr:to>
      <xdr:col>1</xdr:col>
      <xdr:colOff>2219325</xdr:colOff>
      <xdr:row>194</xdr:row>
      <xdr:rowOff>180975</xdr:rowOff>
    </xdr:to>
    <xdr:sp macro="" textlink="">
      <xdr:nvSpPr>
        <xdr:cNvPr id="25" name="Button 3" hidden="1">
          <a:extLst>
            <a:ext uri="{63B3BB69-23CF-44E3-9099-C40C66FF867C}">
              <a14:compatExt xmlns:a14="http://schemas.microsoft.com/office/drawing/2010/main" spid="_x0000_s13315"/>
            </a:ext>
            <a:ext uri="{FF2B5EF4-FFF2-40B4-BE49-F238E27FC236}">
              <a16:creationId xmlns:a16="http://schemas.microsoft.com/office/drawing/2014/main" id="{00000000-0008-0000-0100-000019000000}"/>
            </a:ext>
          </a:extLst>
        </xdr:cNvPr>
        <xdr:cNvSpPr/>
      </xdr:nvSpPr>
      <xdr:spPr bwMode="auto">
        <a:xfrm>
          <a:off x="1449705" y="21311235"/>
          <a:ext cx="95250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All</a:t>
          </a:r>
        </a:p>
      </xdr:txBody>
    </xdr:sp>
    <xdr:clientData fPrintsWithSheet="0"/>
  </xdr:twoCellAnchor>
  <xdr:twoCellAnchor>
    <xdr:from>
      <xdr:col>2</xdr:col>
      <xdr:colOff>1285875</xdr:colOff>
      <xdr:row>186</xdr:row>
      <xdr:rowOff>28575</xdr:rowOff>
    </xdr:from>
    <xdr:to>
      <xdr:col>2</xdr:col>
      <xdr:colOff>2238375</xdr:colOff>
      <xdr:row>187</xdr:row>
      <xdr:rowOff>180975</xdr:rowOff>
    </xdr:to>
    <xdr:sp macro="" textlink="">
      <xdr:nvSpPr>
        <xdr:cNvPr id="26" name="Button 4" hidden="1">
          <a:extLst>
            <a:ext uri="{63B3BB69-23CF-44E3-9099-C40C66FF867C}">
              <a14:compatExt xmlns:a14="http://schemas.microsoft.com/office/drawing/2010/main" spid="_x0000_s13316"/>
            </a:ext>
            <a:ext uri="{FF2B5EF4-FFF2-40B4-BE49-F238E27FC236}">
              <a16:creationId xmlns:a16="http://schemas.microsoft.com/office/drawing/2014/main" id="{00000000-0008-0000-0100-00001A000000}"/>
            </a:ext>
          </a:extLst>
        </xdr:cNvPr>
        <xdr:cNvSpPr/>
      </xdr:nvSpPr>
      <xdr:spPr bwMode="auto">
        <a:xfrm>
          <a:off x="2575560" y="197110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Next Page</a:t>
          </a:r>
        </a:p>
      </xdr:txBody>
    </xdr:sp>
    <xdr:clientData fPrintsWithSheet="0"/>
  </xdr:twoCellAnchor>
  <xdr:twoCellAnchor>
    <xdr:from>
      <xdr:col>2</xdr:col>
      <xdr:colOff>38100</xdr:colOff>
      <xdr:row>186</xdr:row>
      <xdr:rowOff>28575</xdr:rowOff>
    </xdr:from>
    <xdr:to>
      <xdr:col>2</xdr:col>
      <xdr:colOff>1000125</xdr:colOff>
      <xdr:row>187</xdr:row>
      <xdr:rowOff>180975</xdr:rowOff>
    </xdr:to>
    <xdr:sp macro="" textlink="">
      <xdr:nvSpPr>
        <xdr:cNvPr id="27" name="Button 5" hidden="1">
          <a:extLst>
            <a:ext uri="{63B3BB69-23CF-44E3-9099-C40C66FF867C}">
              <a14:compatExt xmlns:a14="http://schemas.microsoft.com/office/drawing/2010/main" spid="_x0000_s13317"/>
            </a:ext>
            <a:ext uri="{FF2B5EF4-FFF2-40B4-BE49-F238E27FC236}">
              <a16:creationId xmlns:a16="http://schemas.microsoft.com/office/drawing/2014/main" id="{00000000-0008-0000-0100-00001B000000}"/>
            </a:ext>
          </a:extLst>
        </xdr:cNvPr>
        <xdr:cNvSpPr/>
      </xdr:nvSpPr>
      <xdr:spPr bwMode="auto">
        <a:xfrm>
          <a:off x="2575560" y="197110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Previous Page</a:t>
          </a:r>
        </a:p>
      </xdr:txBody>
    </xdr:sp>
    <xdr:clientData fPrintsWithSheet="0"/>
  </xdr:twoCellAnchor>
  <xdr:twoCellAnchor>
    <xdr:from>
      <xdr:col>2</xdr:col>
      <xdr:colOff>38100</xdr:colOff>
      <xdr:row>193</xdr:row>
      <xdr:rowOff>28575</xdr:rowOff>
    </xdr:from>
    <xdr:to>
      <xdr:col>2</xdr:col>
      <xdr:colOff>990600</xdr:colOff>
      <xdr:row>194</xdr:row>
      <xdr:rowOff>180975</xdr:rowOff>
    </xdr:to>
    <xdr:sp macro="" textlink="">
      <xdr:nvSpPr>
        <xdr:cNvPr id="28" name="Button 6" hidden="1">
          <a:extLst>
            <a:ext uri="{63B3BB69-23CF-44E3-9099-C40C66FF867C}">
              <a14:compatExt xmlns:a14="http://schemas.microsoft.com/office/drawing/2010/main" spid="_x0000_s13318"/>
            </a:ext>
            <a:ext uri="{FF2B5EF4-FFF2-40B4-BE49-F238E27FC236}">
              <a16:creationId xmlns:a16="http://schemas.microsoft.com/office/drawing/2014/main" id="{00000000-0008-0000-0100-00001C000000}"/>
            </a:ext>
          </a:extLst>
        </xdr:cNvPr>
        <xdr:cNvSpPr/>
      </xdr:nvSpPr>
      <xdr:spPr bwMode="auto">
        <a:xfrm>
          <a:off x="2575560" y="21311235"/>
          <a:ext cx="0" cy="381000"/>
        </a:xfrm>
        <a:prstGeom prst="rect">
          <a:avLst/>
        </a:prstGeom>
        <a:noFill/>
        <a:ln w="9525">
          <a:miter lim="800000"/>
          <a:headEnd/>
          <a:tailEnd/>
        </a:ln>
      </xdr:spPr>
      <xdr:txBody>
        <a:bodyPr vertOverflow="clip" wrap="square" lIns="45720" tIns="45720" rIns="45720" bIns="45720" anchor="ctr" upright="1"/>
        <a:lstStyle/>
        <a:p>
          <a:pPr algn="ctr" rtl="0">
            <a:defRPr sz="1000"/>
          </a:pPr>
          <a:r>
            <a:rPr lang="fr-CA" sz="1100" b="0" i="0" u="none" strike="noStrike" baseline="0">
              <a:solidFill>
                <a:srgbClr val="000000"/>
              </a:solidFill>
              <a:latin typeface="Calibri"/>
              <a:cs typeface="Calibri"/>
            </a:rPr>
            <a:t>Reset Page</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1289050</xdr:colOff>
          <xdr:row>57</xdr:row>
          <xdr:rowOff>31750</xdr:rowOff>
        </xdr:from>
        <xdr:to>
          <xdr:col>1</xdr:col>
          <xdr:colOff>2241550</xdr:colOff>
          <xdr:row>58</xdr:row>
          <xdr:rowOff>184150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61</xdr:row>
          <xdr:rowOff>31750</xdr:rowOff>
        </xdr:from>
        <xdr:to>
          <xdr:col>1</xdr:col>
          <xdr:colOff>990600</xdr:colOff>
          <xdr:row>62</xdr:row>
          <xdr:rowOff>184150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1276350</xdr:colOff>
          <xdr:row>61</xdr:row>
          <xdr:rowOff>31750</xdr:rowOff>
        </xdr:from>
        <xdr:to>
          <xdr:col>1</xdr:col>
          <xdr:colOff>2228850</xdr:colOff>
          <xdr:row>62</xdr:row>
          <xdr:rowOff>184150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57</xdr:row>
          <xdr:rowOff>31750</xdr:rowOff>
        </xdr:from>
        <xdr:to>
          <xdr:col>1</xdr:col>
          <xdr:colOff>1009650</xdr:colOff>
          <xdr:row>58</xdr:row>
          <xdr:rowOff>184150</xdr:rowOff>
        </xdr:to>
        <xdr:sp macro="" textlink="">
          <xdr:nvSpPr>
            <xdr:cNvPr id="2061" name="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Previous Page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79</xdr:row>
          <xdr:rowOff>31750</xdr:rowOff>
        </xdr:from>
        <xdr:to>
          <xdr:col>1</xdr:col>
          <xdr:colOff>876300</xdr:colOff>
          <xdr:row>80</xdr:row>
          <xdr:rowOff>184150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1174750</xdr:colOff>
          <xdr:row>79</xdr:row>
          <xdr:rowOff>31750</xdr:rowOff>
        </xdr:from>
        <xdr:to>
          <xdr:col>1</xdr:col>
          <xdr:colOff>2127250</xdr:colOff>
          <xdr:row>80</xdr:row>
          <xdr:rowOff>184150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146050</xdr:colOff>
          <xdr:row>83</xdr:row>
          <xdr:rowOff>19050</xdr:rowOff>
        </xdr:from>
        <xdr:to>
          <xdr:col>1</xdr:col>
          <xdr:colOff>895350</xdr:colOff>
          <xdr:row>84</xdr:row>
          <xdr:rowOff>184150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1174750</xdr:colOff>
          <xdr:row>83</xdr:row>
          <xdr:rowOff>19050</xdr:rowOff>
        </xdr:from>
        <xdr:to>
          <xdr:col>1</xdr:col>
          <xdr:colOff>2127250</xdr:colOff>
          <xdr:row>84</xdr:row>
          <xdr:rowOff>184150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All</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121</xdr:row>
          <xdr:rowOff>31750</xdr:rowOff>
        </xdr:from>
        <xdr:to>
          <xdr:col>1</xdr:col>
          <xdr:colOff>1295400</xdr:colOff>
          <xdr:row>122</xdr:row>
          <xdr:rowOff>184150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1593850</xdr:colOff>
          <xdr:row>121</xdr:row>
          <xdr:rowOff>31750</xdr:rowOff>
        </xdr:from>
        <xdr:to>
          <xdr:col>1</xdr:col>
          <xdr:colOff>2546350</xdr:colOff>
          <xdr:row>122</xdr:row>
          <xdr:rowOff>184150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336550</xdr:colOff>
          <xdr:row>125</xdr:row>
          <xdr:rowOff>31750</xdr:rowOff>
        </xdr:from>
        <xdr:to>
          <xdr:col>1</xdr:col>
          <xdr:colOff>1289050</xdr:colOff>
          <xdr:row>127</xdr:row>
          <xdr:rowOff>19050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1562100</xdr:colOff>
          <xdr:row>125</xdr:row>
          <xdr:rowOff>31750</xdr:rowOff>
        </xdr:from>
        <xdr:to>
          <xdr:col>1</xdr:col>
          <xdr:colOff>2514600</xdr:colOff>
          <xdr:row>127</xdr:row>
          <xdr:rowOff>19050</xdr:rowOff>
        </xdr:to>
        <xdr:sp macro="" textlink="">
          <xdr:nvSpPr>
            <xdr:cNvPr id="5126" name="Button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All</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152400</xdr:colOff>
          <xdr:row>90</xdr:row>
          <xdr:rowOff>19050</xdr:rowOff>
        </xdr:from>
        <xdr:to>
          <xdr:col>1</xdr:col>
          <xdr:colOff>1104900</xdr:colOff>
          <xdr:row>91</xdr:row>
          <xdr:rowOff>184150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Previous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114300</xdr:colOff>
          <xdr:row>94</xdr:row>
          <xdr:rowOff>19050</xdr:rowOff>
        </xdr:from>
        <xdr:to>
          <xdr:col>1</xdr:col>
          <xdr:colOff>1066800</xdr:colOff>
          <xdr:row>95</xdr:row>
          <xdr:rowOff>184150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1352550</xdr:colOff>
          <xdr:row>94</xdr:row>
          <xdr:rowOff>19050</xdr:rowOff>
        </xdr:from>
        <xdr:to>
          <xdr:col>1</xdr:col>
          <xdr:colOff>2305050</xdr:colOff>
          <xdr:row>95</xdr:row>
          <xdr:rowOff>184150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1390650</xdr:colOff>
          <xdr:row>90</xdr:row>
          <xdr:rowOff>19050</xdr:rowOff>
        </xdr:from>
        <xdr:to>
          <xdr:col>1</xdr:col>
          <xdr:colOff>2343150</xdr:colOff>
          <xdr:row>91</xdr:row>
          <xdr:rowOff>184150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Next Page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457200</xdr:colOff>
          <xdr:row>50</xdr:row>
          <xdr:rowOff>31750</xdr:rowOff>
        </xdr:from>
        <xdr:to>
          <xdr:col>1</xdr:col>
          <xdr:colOff>1409700</xdr:colOff>
          <xdr:row>51</xdr:row>
          <xdr:rowOff>184150</xdr:rowOff>
        </xdr:to>
        <xdr:sp macro="" textlink="">
          <xdr:nvSpPr>
            <xdr:cNvPr id="12294" name="Button 6" hidden="1">
              <a:extLst>
                <a:ext uri="{63B3BB69-23CF-44E3-9099-C40C66FF867C}">
                  <a14:compatExt spid="_x0000_s12294"/>
                </a:ext>
                <a:ext uri="{FF2B5EF4-FFF2-40B4-BE49-F238E27FC236}">
                  <a16:creationId xmlns:a16="http://schemas.microsoft.com/office/drawing/2014/main" id="{00000000-0008-0000-0600-000006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50</xdr:row>
          <xdr:rowOff>31750</xdr:rowOff>
        </xdr:from>
        <xdr:to>
          <xdr:col>2</xdr:col>
          <xdr:colOff>1028700</xdr:colOff>
          <xdr:row>51</xdr:row>
          <xdr:rowOff>184150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600-00000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Reset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1181100</xdr:colOff>
          <xdr:row>46</xdr:row>
          <xdr:rowOff>19050</xdr:rowOff>
        </xdr:from>
        <xdr:to>
          <xdr:col>2</xdr:col>
          <xdr:colOff>209550</xdr:colOff>
          <xdr:row>47</xdr:row>
          <xdr:rowOff>171450</xdr:rowOff>
        </xdr:to>
        <xdr:sp macro="" textlink="">
          <xdr:nvSpPr>
            <xdr:cNvPr id="12296" name="Button 8" hidden="1">
              <a:extLst>
                <a:ext uri="{63B3BB69-23CF-44E3-9099-C40C66FF867C}">
                  <a14:compatExt spid="_x0000_s12296"/>
                </a:ext>
                <a:ext uri="{FF2B5EF4-FFF2-40B4-BE49-F238E27FC236}">
                  <a16:creationId xmlns:a16="http://schemas.microsoft.com/office/drawing/2014/main" id="{00000000-0008-0000-0600-00000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A" sz="1100" b="0" i="0" u="none" strike="noStrike" baseline="0">
                  <a:solidFill>
                    <a:srgbClr val="000000"/>
                  </a:solidFill>
                  <a:latin typeface="Calibri"/>
                  <a:cs typeface="Calibri"/>
                </a:rPr>
                <a:t>Previous Page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mhcschl.sharepoint.com/NHCF/Task-Lynn/Viability%20Sheet%20-%20upgrade/Updated%20grid%20-%20RR-%2001-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Scoring Grid"/>
      <sheetName val="Rents &amp; Affordability"/>
      <sheetName val="Project Budget "/>
      <sheetName val="Proforma - Residential"/>
      <sheetName val="Proforma - Non-Residential"/>
      <sheetName val="Drawdown Schedule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ppdscrmssa01.blob.core.windows.net/cmhcprodcontainer/files/pdf/co-invest%20fund/nhs-co-invest-fund-funding-eligibility-en.pdf" TargetMode="External"/><Relationship Id="rId2" Type="http://schemas.openxmlformats.org/officeDocument/2006/relationships/hyperlink" Target="https://eppdscrmssa01.blob.core.windows.net/cmhcprodcontainer/files/pdf/co-invest%20fund/nhs-co-invest-fund-highlight-sheet-aug2018-en.pdf" TargetMode="External"/><Relationship Id="rId1" Type="http://schemas.openxmlformats.org/officeDocument/2006/relationships/hyperlink" Target="https://www.cmhc-schl.gc.ca/en/maintaining-and-managing/managing-affordable-housing/connect-with-affordable-housing-specialis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eppdscrmssa01.blob.core.windows.net/cmhcprodcontainer/files/pdf/co-invest%20fund/nhs-co-invest-fund-environmental-and-accessibility-new-construction-aug2018-en.pdf"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assets.cmhc-schl.gc.ca/sites/cmhc/nhs/co-investment-fund/nhs-co-invest-fund-environmental-and-accessibility-repairs-renewal-en.pdf?rev=172d47e5-8c83-4550-98ac-efe37fbce689" TargetMode="External"/><Relationship Id="rId16" Type="http://schemas.openxmlformats.org/officeDocument/2006/relationships/ctrlProp" Target="../ctrlProps/ctrlProp9.xml"/><Relationship Id="rId1" Type="http://schemas.openxmlformats.org/officeDocument/2006/relationships/hyperlink" Target="https://eppdscrmssa01.blob.core.windows.net/cmhcprodcontainer/files/pdf/co-invest%20fund/nhs-co-invest-fund-highlight-sheet-aug2018-en.pdf" TargetMode="External"/><Relationship Id="rId6" Type="http://schemas.openxmlformats.org/officeDocument/2006/relationships/drawing" Target="../drawings/drawing2.xml"/><Relationship Id="rId11" Type="http://schemas.openxmlformats.org/officeDocument/2006/relationships/ctrlProp" Target="../ctrlProps/ctrlProp4.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assets.cmhc-schl.gc.ca/sites/cmhc/nhs/co-investment-fund/nhs-co-invest-fund-environmental-and-accessibility-repairs-renewal-en.pdf?rev=172d47e5-8c83-4550-98ac-efe37fbce689"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s://www03.cmhc-schl.gc.ca/hmip-pimh/en"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2.v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4.xml"/><Relationship Id="rId7" Type="http://schemas.openxmlformats.org/officeDocument/2006/relationships/ctrlProp" Target="../ctrlProps/ctrlProp19.xml"/><Relationship Id="rId2" Type="http://schemas.openxmlformats.org/officeDocument/2006/relationships/printerSettings" Target="../printerSettings/printerSettings4.bin"/><Relationship Id="rId1" Type="http://schemas.openxmlformats.org/officeDocument/2006/relationships/hyperlink" Target="https://eppdscrmssa01.blob.core.windows.net/cmhcprodcontainer/files/pdf/co-invest%20fund/nhs-co-invest-fund-funding-eligibility-en.pdf" TargetMode="External"/><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3.v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drawing" Target="../drawings/drawing5.xml"/><Relationship Id="rId7" Type="http://schemas.openxmlformats.org/officeDocument/2006/relationships/ctrlProp" Target="../ctrlProps/ctrlProp23.xml"/><Relationship Id="rId2" Type="http://schemas.openxmlformats.org/officeDocument/2006/relationships/printerSettings" Target="../printerSettings/printerSettings5.bin"/><Relationship Id="rId1" Type="http://schemas.openxmlformats.org/officeDocument/2006/relationships/hyperlink" Target="https://www03.cmhc-schl.gc.ca/hmip-pimh/en"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4.v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2:L25"/>
  <sheetViews>
    <sheetView showGridLines="0" tabSelected="1" zoomScale="70" zoomScaleNormal="70" workbookViewId="0">
      <selection activeCell="B7" sqref="B7:L14"/>
    </sheetView>
  </sheetViews>
  <sheetFormatPr defaultColWidth="9.1796875" defaultRowHeight="14.5" x14ac:dyDescent="0.35"/>
  <cols>
    <col min="1" max="1" width="3.26953125" customWidth="1"/>
    <col min="2" max="2" width="10.26953125" bestFit="1" customWidth="1"/>
    <col min="3" max="3" width="23" bestFit="1" customWidth="1"/>
    <col min="8" max="8" width="11" customWidth="1"/>
    <col min="9" max="9" width="59.26953125" customWidth="1"/>
    <col min="10" max="10" width="25.7265625" customWidth="1"/>
  </cols>
  <sheetData>
    <row r="2" spans="2:12" ht="28.5" x14ac:dyDescent="0.65">
      <c r="B2" s="362" t="s">
        <v>443</v>
      </c>
    </row>
    <row r="3" spans="2:12" ht="18.649999999999999" customHeight="1" x14ac:dyDescent="0.5">
      <c r="B3" s="363" t="s">
        <v>0</v>
      </c>
    </row>
    <row r="4" spans="2:12" ht="15" customHeight="1" thickBot="1" x14ac:dyDescent="0.4"/>
    <row r="5" spans="2:12" ht="19" thickBot="1" x14ac:dyDescent="0.5">
      <c r="B5" s="305" t="s">
        <v>1</v>
      </c>
      <c r="C5" s="306" t="s">
        <v>2</v>
      </c>
    </row>
    <row r="6" spans="2:12" ht="19" thickBot="1" x14ac:dyDescent="0.5">
      <c r="B6" s="307" t="s">
        <v>3</v>
      </c>
      <c r="C6" s="308">
        <v>45352</v>
      </c>
    </row>
    <row r="7" spans="2:12" ht="14.5" customHeight="1" x14ac:dyDescent="0.35">
      <c r="B7" s="643" t="s">
        <v>4</v>
      </c>
      <c r="C7" s="643"/>
      <c r="D7" s="643"/>
      <c r="E7" s="643"/>
      <c r="F7" s="643"/>
      <c r="G7" s="643"/>
      <c r="H7" s="643"/>
      <c r="I7" s="643"/>
      <c r="J7" s="643"/>
      <c r="K7" s="643"/>
      <c r="L7" s="643"/>
    </row>
    <row r="8" spans="2:12" x14ac:dyDescent="0.35">
      <c r="B8" s="643"/>
      <c r="C8" s="643"/>
      <c r="D8" s="643"/>
      <c r="E8" s="643"/>
      <c r="F8" s="643"/>
      <c r="G8" s="643"/>
      <c r="H8" s="643"/>
      <c r="I8" s="643"/>
      <c r="J8" s="643"/>
      <c r="K8" s="643"/>
      <c r="L8" s="643"/>
    </row>
    <row r="9" spans="2:12" x14ac:dyDescent="0.35">
      <c r="B9" s="643"/>
      <c r="C9" s="643"/>
      <c r="D9" s="643"/>
      <c r="E9" s="643"/>
      <c r="F9" s="643"/>
      <c r="G9" s="643"/>
      <c r="H9" s="643"/>
      <c r="I9" s="643"/>
      <c r="J9" s="643"/>
      <c r="K9" s="643"/>
      <c r="L9" s="643"/>
    </row>
    <row r="10" spans="2:12" x14ac:dyDescent="0.35">
      <c r="B10" s="643"/>
      <c r="C10" s="643"/>
      <c r="D10" s="643"/>
      <c r="E10" s="643"/>
      <c r="F10" s="643"/>
      <c r="G10" s="643"/>
      <c r="H10" s="643"/>
      <c r="I10" s="643"/>
      <c r="J10" s="643"/>
      <c r="K10" s="643"/>
      <c r="L10" s="643"/>
    </row>
    <row r="11" spans="2:12" x14ac:dyDescent="0.35">
      <c r="B11" s="643"/>
      <c r="C11" s="643"/>
      <c r="D11" s="643"/>
      <c r="E11" s="643"/>
      <c r="F11" s="643"/>
      <c r="G11" s="643"/>
      <c r="H11" s="643"/>
      <c r="I11" s="643"/>
      <c r="J11" s="643"/>
      <c r="K11" s="643"/>
      <c r="L11" s="643"/>
    </row>
    <row r="12" spans="2:12" x14ac:dyDescent="0.35">
      <c r="B12" s="643"/>
      <c r="C12" s="643"/>
      <c r="D12" s="643"/>
      <c r="E12" s="643"/>
      <c r="F12" s="643"/>
      <c r="G12" s="643"/>
      <c r="H12" s="643"/>
      <c r="I12" s="643"/>
      <c r="J12" s="643"/>
      <c r="K12" s="643"/>
      <c r="L12" s="643"/>
    </row>
    <row r="13" spans="2:12" x14ac:dyDescent="0.35">
      <c r="B13" s="643"/>
      <c r="C13" s="643"/>
      <c r="D13" s="643"/>
      <c r="E13" s="643"/>
      <c r="F13" s="643"/>
      <c r="G13" s="643"/>
      <c r="H13" s="643"/>
      <c r="I13" s="643"/>
      <c r="J13" s="643"/>
      <c r="K13" s="643"/>
      <c r="L13" s="643"/>
    </row>
    <row r="14" spans="2:12" x14ac:dyDescent="0.35">
      <c r="B14" s="643"/>
      <c r="C14" s="643"/>
      <c r="D14" s="643"/>
      <c r="E14" s="643"/>
      <c r="F14" s="643"/>
      <c r="G14" s="643"/>
      <c r="H14" s="643"/>
      <c r="I14" s="643"/>
      <c r="J14" s="643"/>
      <c r="K14" s="643"/>
      <c r="L14" s="643"/>
    </row>
    <row r="15" spans="2:12" x14ac:dyDescent="0.35">
      <c r="B15" s="359"/>
      <c r="C15" s="359"/>
      <c r="D15" s="359"/>
      <c r="E15" s="359"/>
      <c r="F15" s="359"/>
      <c r="G15" s="359"/>
      <c r="H15" s="359"/>
      <c r="I15" s="359"/>
      <c r="J15" s="359"/>
      <c r="K15" s="359"/>
    </row>
    <row r="16" spans="2:12" x14ac:dyDescent="0.35">
      <c r="B16" s="644" t="s">
        <v>444</v>
      </c>
      <c r="C16" s="644"/>
      <c r="D16" s="644"/>
      <c r="E16" s="644"/>
      <c r="F16" s="644"/>
      <c r="G16" s="644"/>
      <c r="H16" s="644"/>
      <c r="I16" s="644"/>
      <c r="J16" s="644"/>
      <c r="K16" s="644"/>
      <c r="L16" s="644"/>
    </row>
    <row r="17" spans="2:12" x14ac:dyDescent="0.35">
      <c r="B17" s="644"/>
      <c r="C17" s="644"/>
      <c r="D17" s="644"/>
      <c r="E17" s="644"/>
      <c r="F17" s="644"/>
      <c r="G17" s="644"/>
      <c r="H17" s="644"/>
      <c r="I17" s="644"/>
      <c r="J17" s="644"/>
      <c r="K17" s="644"/>
      <c r="L17" s="644"/>
    </row>
    <row r="18" spans="2:12" x14ac:dyDescent="0.35">
      <c r="B18" s="644"/>
      <c r="C18" s="644"/>
      <c r="D18" s="644"/>
      <c r="E18" s="644"/>
      <c r="F18" s="644"/>
      <c r="G18" s="644"/>
      <c r="H18" s="644"/>
      <c r="I18" s="644"/>
      <c r="J18" s="644"/>
      <c r="K18" s="644"/>
      <c r="L18" s="644"/>
    </row>
    <row r="19" spans="2:12" ht="14.5" customHeight="1" x14ac:dyDescent="0.35">
      <c r="B19" s="644"/>
      <c r="C19" s="644"/>
      <c r="D19" s="644"/>
      <c r="E19" s="644"/>
      <c r="F19" s="644"/>
      <c r="G19" s="644"/>
      <c r="H19" s="644"/>
      <c r="I19" s="644"/>
      <c r="J19" s="644"/>
      <c r="K19" s="644"/>
      <c r="L19" s="644"/>
    </row>
    <row r="20" spans="2:12" ht="18.5" x14ac:dyDescent="0.45">
      <c r="B20" s="645" t="s">
        <v>5</v>
      </c>
      <c r="C20" s="646"/>
      <c r="D20" s="646"/>
      <c r="E20" s="646"/>
      <c r="F20" s="646"/>
      <c r="G20" s="646"/>
      <c r="H20" s="646"/>
      <c r="I20" s="647"/>
    </row>
    <row r="21" spans="2:12" ht="18.5" x14ac:dyDescent="0.45">
      <c r="B21" s="364" t="s">
        <v>6</v>
      </c>
      <c r="C21" s="365" t="s">
        <v>7</v>
      </c>
      <c r="D21" s="366"/>
      <c r="E21" s="366"/>
      <c r="F21" s="367"/>
      <c r="G21" s="366"/>
      <c r="H21" s="366"/>
      <c r="I21" s="368"/>
    </row>
    <row r="22" spans="2:12" ht="18.5" x14ac:dyDescent="0.45">
      <c r="B22" s="364" t="s">
        <v>6</v>
      </c>
      <c r="C22" s="365" t="s">
        <v>445</v>
      </c>
      <c r="D22" s="366"/>
      <c r="E22" s="366"/>
      <c r="F22" s="367"/>
      <c r="G22" s="366"/>
      <c r="H22" s="366"/>
      <c r="I22" s="368"/>
    </row>
    <row r="23" spans="2:12" ht="18.5" x14ac:dyDescent="0.45">
      <c r="B23" s="364" t="s">
        <v>6</v>
      </c>
      <c r="C23" s="365" t="s">
        <v>446</v>
      </c>
      <c r="D23" s="366"/>
      <c r="E23" s="366"/>
      <c r="F23" s="367"/>
      <c r="G23" s="366"/>
      <c r="H23" s="366"/>
      <c r="I23" s="368"/>
    </row>
    <row r="24" spans="2:12" ht="18.5" x14ac:dyDescent="0.45">
      <c r="B24" s="364" t="s">
        <v>6</v>
      </c>
      <c r="C24" s="366" t="s">
        <v>8</v>
      </c>
      <c r="I24" s="69"/>
    </row>
    <row r="25" spans="2:12" ht="18.5" x14ac:dyDescent="0.45">
      <c r="B25" s="369" t="s">
        <v>6</v>
      </c>
      <c r="C25" s="370" t="s">
        <v>9</v>
      </c>
      <c r="D25" s="370"/>
      <c r="E25" s="370"/>
      <c r="F25" s="371"/>
      <c r="G25" s="370"/>
      <c r="H25" s="370"/>
      <c r="I25" s="372"/>
    </row>
  </sheetData>
  <sheetProtection algorithmName="SHA-512" hashValue="dwS06f1uHjD07+gksrxDE66a6dQvn3MX0y7E6iij07+7bkUo4OZylRN4FF9OZ1vlVF/hsKtNf0XqMWBVD3wN3w==" saltValue="vq/D6xJGkOKztntrb7jrxQ==" spinCount="100000" sheet="1" selectLockedCells="1" selectUnlockedCells="1"/>
  <mergeCells count="3">
    <mergeCell ref="B7:L14"/>
    <mergeCell ref="B16:L19"/>
    <mergeCell ref="B20:I20"/>
  </mergeCells>
  <hyperlinks>
    <hyperlink ref="C21" r:id="rId1" xr:uid="{00000000-0004-0000-0000-000000000000}"/>
    <hyperlink ref="C22" r:id="rId2" display="Review the NHCF Product Highlight Sheet" xr:uid="{00000000-0004-0000-0000-000001000000}"/>
    <hyperlink ref="C23" r:id="rId3" display="Review the NHCF Funding Eligibility document" xr:uid="{00000000-0004-0000-0000-000002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97"/>
  <sheetViews>
    <sheetView showGridLines="0" showZeros="0" zoomScale="70" zoomScaleNormal="70" workbookViewId="0">
      <selection activeCell="A2" sqref="A2:N2"/>
    </sheetView>
  </sheetViews>
  <sheetFormatPr defaultColWidth="9.1796875" defaultRowHeight="14.5" x14ac:dyDescent="0.35"/>
  <cols>
    <col min="1" max="1" width="2.7265625" customWidth="1"/>
    <col min="2" max="2" width="30.7265625" customWidth="1"/>
    <col min="3" max="3" width="38.1796875" hidden="1" customWidth="1"/>
    <col min="4" max="4" width="5.1796875" customWidth="1"/>
    <col min="5" max="5" width="32.7265625" customWidth="1"/>
    <col min="6" max="6" width="14.81640625" hidden="1" customWidth="1"/>
    <col min="7" max="7" width="18.1796875" hidden="1" customWidth="1"/>
    <col min="8" max="8" width="11.26953125" customWidth="1"/>
    <col min="9" max="9" width="88.1796875" customWidth="1"/>
    <col min="10" max="10" width="9.1796875" hidden="1" customWidth="1"/>
    <col min="11" max="11" width="23" customWidth="1"/>
    <col min="12" max="12" width="21" customWidth="1"/>
    <col min="13" max="13" width="4.26953125" hidden="1" customWidth="1"/>
    <col min="14" max="14" width="2.54296875" customWidth="1"/>
  </cols>
  <sheetData>
    <row r="1" spans="1:18" s="3" customFormat="1" x14ac:dyDescent="0.35">
      <c r="A1" s="84" t="s">
        <v>10</v>
      </c>
      <c r="B1" s="85"/>
      <c r="C1" s="85"/>
      <c r="D1" s="85"/>
      <c r="E1" s="85"/>
      <c r="F1" s="85"/>
      <c r="J1"/>
      <c r="K1"/>
      <c r="L1"/>
      <c r="M1"/>
      <c r="R1" s="4"/>
    </row>
    <row r="2" spans="1:18" ht="23.5" x14ac:dyDescent="0.35">
      <c r="A2" s="688" t="s">
        <v>439</v>
      </c>
      <c r="B2" s="688"/>
      <c r="C2" s="688"/>
      <c r="D2" s="688"/>
      <c r="E2" s="688"/>
      <c r="F2" s="688"/>
      <c r="G2" s="688"/>
      <c r="H2" s="688"/>
      <c r="I2" s="688"/>
      <c r="J2" s="688"/>
      <c r="K2" s="688"/>
      <c r="L2" s="688"/>
      <c r="M2" s="688"/>
      <c r="N2" s="688"/>
    </row>
    <row r="3" spans="1:18" ht="26" x14ac:dyDescent="0.6">
      <c r="A3" s="356"/>
      <c r="B3" s="374" t="s">
        <v>11</v>
      </c>
      <c r="C3" s="373"/>
      <c r="D3" s="373"/>
      <c r="E3" s="373"/>
      <c r="F3" s="373"/>
      <c r="G3" s="373"/>
      <c r="H3" s="373"/>
      <c r="I3" s="373"/>
      <c r="J3" s="373"/>
      <c r="K3" s="373"/>
      <c r="L3" s="373"/>
      <c r="N3" s="689"/>
    </row>
    <row r="4" spans="1:18" ht="18.5" x14ac:dyDescent="0.45">
      <c r="A4" s="356"/>
      <c r="B4" s="375" t="s">
        <v>398</v>
      </c>
      <c r="C4" s="373"/>
      <c r="D4" s="373"/>
      <c r="E4" s="373"/>
      <c r="F4" s="373"/>
      <c r="G4" s="373"/>
      <c r="H4" s="373"/>
      <c r="I4" s="373"/>
      <c r="J4" s="373"/>
      <c r="K4" s="373"/>
      <c r="L4" s="373"/>
      <c r="N4" s="689"/>
    </row>
    <row r="5" spans="1:18" ht="18.5" x14ac:dyDescent="0.45">
      <c r="A5" s="356"/>
      <c r="B5" s="376" t="s">
        <v>12</v>
      </c>
      <c r="C5" s="373"/>
      <c r="D5" s="373"/>
      <c r="E5" s="373"/>
      <c r="F5" s="373"/>
      <c r="G5" s="373"/>
      <c r="H5" s="373"/>
      <c r="I5" s="373"/>
      <c r="J5" s="373"/>
      <c r="K5" s="373"/>
      <c r="L5" s="373"/>
      <c r="N5" s="689"/>
    </row>
    <row r="6" spans="1:18" ht="18.5" x14ac:dyDescent="0.45">
      <c r="A6" s="356"/>
      <c r="B6" s="376" t="s">
        <v>13</v>
      </c>
      <c r="C6" s="373"/>
      <c r="D6" s="373"/>
      <c r="E6" s="373"/>
      <c r="F6" s="373"/>
      <c r="G6" s="373"/>
      <c r="H6" s="373"/>
      <c r="I6" s="373"/>
      <c r="J6" s="373"/>
      <c r="K6" s="373"/>
      <c r="L6" s="373"/>
      <c r="N6" s="689"/>
    </row>
    <row r="7" spans="1:18" ht="18.5" x14ac:dyDescent="0.45">
      <c r="A7" s="356"/>
      <c r="B7" s="376" t="s">
        <v>399</v>
      </c>
      <c r="C7" s="373"/>
      <c r="D7" s="373"/>
      <c r="E7" s="373"/>
      <c r="F7" s="373"/>
      <c r="G7" s="373"/>
      <c r="H7" s="373"/>
      <c r="I7" s="373"/>
      <c r="J7" s="373"/>
      <c r="K7" s="373"/>
      <c r="L7" s="373"/>
      <c r="N7" s="689"/>
    </row>
    <row r="8" spans="1:18" ht="18.5" x14ac:dyDescent="0.35">
      <c r="A8" s="356"/>
      <c r="B8" s="373"/>
      <c r="C8" s="373"/>
      <c r="D8" s="373"/>
      <c r="E8" s="373"/>
      <c r="F8" s="373"/>
      <c r="G8" s="373"/>
      <c r="H8" s="373"/>
      <c r="I8" s="373"/>
      <c r="J8" s="373"/>
      <c r="K8" s="373"/>
      <c r="L8" s="373"/>
      <c r="N8" s="689"/>
    </row>
    <row r="9" spans="1:18" s="253" customFormat="1" ht="41.25" customHeight="1" x14ac:dyDescent="0.35">
      <c r="A9" s="356"/>
      <c r="F9" s="253" t="s">
        <v>14</v>
      </c>
      <c r="G9" s="254" t="s">
        <v>15</v>
      </c>
      <c r="H9" s="254"/>
      <c r="I9" s="378" t="s">
        <v>16</v>
      </c>
      <c r="J9" s="378" t="s">
        <v>17</v>
      </c>
      <c r="K9" s="379" t="s">
        <v>17</v>
      </c>
      <c r="L9" s="377" t="s">
        <v>18</v>
      </c>
      <c r="N9" s="689"/>
    </row>
    <row r="10" spans="1:18" x14ac:dyDescent="0.35">
      <c r="A10" s="356"/>
      <c r="B10" s="660" t="s">
        <v>19</v>
      </c>
      <c r="C10" s="661"/>
      <c r="D10" s="661"/>
      <c r="E10" s="661"/>
      <c r="F10" s="661"/>
      <c r="G10" s="661"/>
      <c r="H10" s="661"/>
      <c r="I10" s="661"/>
      <c r="J10" s="220">
        <f>SUM(J11,J18)</f>
        <v>0</v>
      </c>
      <c r="K10" s="220">
        <f>SUM(K11,K18)</f>
        <v>0</v>
      </c>
      <c r="L10" s="221">
        <f>(K11+K18)/((F11*G11)+(F18*G18))</f>
        <v>0</v>
      </c>
      <c r="N10" s="689"/>
    </row>
    <row r="11" spans="1:18" ht="42" customHeight="1" x14ac:dyDescent="0.35">
      <c r="A11" s="356"/>
      <c r="B11" s="666" t="s">
        <v>20</v>
      </c>
      <c r="C11" s="667"/>
      <c r="D11" s="667"/>
      <c r="E11" s="668"/>
      <c r="F11" s="255">
        <v>15</v>
      </c>
      <c r="G11" s="255">
        <v>5</v>
      </c>
      <c r="H11" s="256" t="s">
        <v>21</v>
      </c>
      <c r="I11" s="380"/>
      <c r="J11" s="255">
        <f>IF(I11=C12,G12,IF(I11=C13,G13,IF(I11=C14,G14,IF(I11=C15,G15,IF(I11=C16,G16,IF(I11=C17,G17,))))))</f>
        <v>0</v>
      </c>
      <c r="K11" s="255">
        <f>J11*F11</f>
        <v>0</v>
      </c>
      <c r="L11" s="257"/>
      <c r="N11" s="689"/>
    </row>
    <row r="12" spans="1:18" ht="15" hidden="1" customHeight="1" x14ac:dyDescent="0.35">
      <c r="A12" s="356"/>
      <c r="C12" t="s">
        <v>22</v>
      </c>
      <c r="F12" s="23"/>
      <c r="G12" s="23">
        <v>0</v>
      </c>
      <c r="H12" s="23"/>
      <c r="I12" s="263"/>
      <c r="J12" s="23"/>
      <c r="K12" s="23"/>
      <c r="N12" s="689"/>
    </row>
    <row r="13" spans="1:18" ht="15" hidden="1" customHeight="1" x14ac:dyDescent="0.35">
      <c r="A13" s="356"/>
      <c r="C13" t="s">
        <v>23</v>
      </c>
      <c r="F13" s="23"/>
      <c r="G13" s="23">
        <v>1</v>
      </c>
      <c r="H13" s="23"/>
      <c r="I13" s="263"/>
      <c r="J13" s="23"/>
      <c r="K13" s="23"/>
      <c r="N13" s="689"/>
    </row>
    <row r="14" spans="1:18" ht="15" hidden="1" customHeight="1" x14ac:dyDescent="0.35">
      <c r="A14" s="356"/>
      <c r="C14" t="s">
        <v>24</v>
      </c>
      <c r="F14" s="23"/>
      <c r="G14" s="23">
        <v>2</v>
      </c>
      <c r="H14" s="23"/>
      <c r="I14" s="263"/>
      <c r="J14" s="23"/>
      <c r="K14" s="23"/>
      <c r="N14" s="689"/>
    </row>
    <row r="15" spans="1:18" ht="15" hidden="1" customHeight="1" x14ac:dyDescent="0.35">
      <c r="A15" s="356"/>
      <c r="C15" t="s">
        <v>25</v>
      </c>
      <c r="F15" s="23"/>
      <c r="G15" s="23">
        <v>3</v>
      </c>
      <c r="H15" s="23"/>
      <c r="I15" s="263"/>
      <c r="J15" s="23"/>
      <c r="K15" s="23"/>
      <c r="N15" s="689"/>
    </row>
    <row r="16" spans="1:18" ht="15" hidden="1" customHeight="1" x14ac:dyDescent="0.35">
      <c r="A16" s="356"/>
      <c r="C16" t="s">
        <v>26</v>
      </c>
      <c r="F16" s="23"/>
      <c r="G16" s="23">
        <v>5</v>
      </c>
      <c r="H16" s="23"/>
      <c r="I16" s="263"/>
      <c r="J16" s="23"/>
      <c r="K16" s="23"/>
      <c r="N16" s="689"/>
    </row>
    <row r="17" spans="1:14" x14ac:dyDescent="0.35">
      <c r="A17" s="356"/>
      <c r="F17" s="23"/>
      <c r="G17" s="23"/>
      <c r="H17" s="23"/>
      <c r="I17" s="263"/>
      <c r="J17" s="23"/>
      <c r="K17" s="23"/>
      <c r="N17" s="689"/>
    </row>
    <row r="18" spans="1:14" ht="46.5" customHeight="1" x14ac:dyDescent="0.35">
      <c r="A18" s="356"/>
      <c r="B18" s="666" t="s">
        <v>27</v>
      </c>
      <c r="C18" s="667"/>
      <c r="D18" s="667"/>
      <c r="E18" s="668"/>
      <c r="F18" s="255">
        <v>15</v>
      </c>
      <c r="G18" s="255">
        <v>5</v>
      </c>
      <c r="H18" s="256" t="s">
        <v>21</v>
      </c>
      <c r="I18" s="380"/>
      <c r="J18" s="255">
        <f>IF(I18=C19,G19,IF(I18=C20,G20,IF(I18=C21,G21,IF(I18=C22,G22,IF(I18=C23,G23,IF(I18=C24,G24,))))))</f>
        <v>0</v>
      </c>
      <c r="K18" s="255">
        <f>J18*F18</f>
        <v>0</v>
      </c>
      <c r="L18" s="257"/>
      <c r="N18" s="689"/>
    </row>
    <row r="19" spans="1:14" ht="15" hidden="1" customHeight="1" x14ac:dyDescent="0.35">
      <c r="A19" s="356"/>
      <c r="C19" t="s">
        <v>28</v>
      </c>
      <c r="F19" s="23"/>
      <c r="G19" s="23">
        <v>0</v>
      </c>
      <c r="H19" s="23"/>
      <c r="I19" s="263"/>
      <c r="J19" s="23"/>
      <c r="K19" s="23"/>
      <c r="N19" s="689"/>
    </row>
    <row r="20" spans="1:14" ht="15" hidden="1" customHeight="1" x14ac:dyDescent="0.35">
      <c r="A20" s="356"/>
      <c r="C20" t="s">
        <v>29</v>
      </c>
      <c r="F20" s="23"/>
      <c r="G20" s="23">
        <v>1</v>
      </c>
      <c r="H20" s="23"/>
      <c r="I20" s="263"/>
      <c r="J20" s="23"/>
      <c r="K20" s="23"/>
      <c r="N20" s="689"/>
    </row>
    <row r="21" spans="1:14" ht="15" hidden="1" customHeight="1" x14ac:dyDescent="0.35">
      <c r="A21" s="356"/>
      <c r="C21" t="s">
        <v>30</v>
      </c>
      <c r="F21" s="23"/>
      <c r="G21" s="23">
        <v>2</v>
      </c>
      <c r="H21" s="23"/>
      <c r="I21" s="263"/>
      <c r="J21" s="23"/>
      <c r="K21" s="23"/>
      <c r="N21" s="689"/>
    </row>
    <row r="22" spans="1:14" ht="15" hidden="1" customHeight="1" x14ac:dyDescent="0.35">
      <c r="A22" s="356"/>
      <c r="C22" t="s">
        <v>31</v>
      </c>
      <c r="F22" s="23"/>
      <c r="G22" s="23">
        <v>3</v>
      </c>
      <c r="H22" s="23"/>
      <c r="I22" s="263"/>
      <c r="J22" s="23"/>
      <c r="K22" s="23"/>
      <c r="N22" s="689"/>
    </row>
    <row r="23" spans="1:14" ht="15" hidden="1" customHeight="1" x14ac:dyDescent="0.35">
      <c r="A23" s="356"/>
      <c r="C23" t="s">
        <v>32</v>
      </c>
      <c r="F23" s="23"/>
      <c r="G23" s="23">
        <v>5</v>
      </c>
      <c r="H23" s="23"/>
      <c r="I23" s="263"/>
      <c r="J23" s="23"/>
      <c r="K23" s="23"/>
      <c r="N23" s="689"/>
    </row>
    <row r="24" spans="1:14" x14ac:dyDescent="0.35">
      <c r="A24" s="356"/>
      <c r="F24" s="23"/>
      <c r="G24" s="23"/>
      <c r="H24" s="23"/>
      <c r="I24" s="263"/>
      <c r="J24" s="23"/>
      <c r="K24" s="23"/>
      <c r="N24" s="689"/>
    </row>
    <row r="25" spans="1:14" x14ac:dyDescent="0.35">
      <c r="A25" s="356"/>
      <c r="B25" s="662" t="s">
        <v>400</v>
      </c>
      <c r="C25" s="663"/>
      <c r="D25" s="663"/>
      <c r="E25" s="663"/>
      <c r="F25" s="220">
        <v>15</v>
      </c>
      <c r="G25" s="220">
        <f>G26</f>
        <v>5</v>
      </c>
      <c r="H25" s="220"/>
      <c r="I25" s="381"/>
      <c r="J25" s="220">
        <f>J26</f>
        <v>0</v>
      </c>
      <c r="K25" s="220">
        <f>K26</f>
        <v>0</v>
      </c>
      <c r="L25" s="221">
        <f>K25/(F25*G25)</f>
        <v>0</v>
      </c>
      <c r="N25" s="689"/>
    </row>
    <row r="26" spans="1:14" ht="44.65" customHeight="1" x14ac:dyDescent="0.35">
      <c r="A26" s="356"/>
      <c r="B26" s="666" t="s">
        <v>33</v>
      </c>
      <c r="C26" s="667"/>
      <c r="D26" s="667"/>
      <c r="E26" s="668"/>
      <c r="F26" s="255">
        <v>15</v>
      </c>
      <c r="G26" s="255">
        <v>5</v>
      </c>
      <c r="H26" s="256" t="s">
        <v>21</v>
      </c>
      <c r="I26" s="380"/>
      <c r="J26" s="255">
        <f>IF(I26=C27,G27,IF(I26=C28,G28,IF(I26=C29,G29,IF(I26=C30,G30,IF(I26=C31,G31,)))))</f>
        <v>0</v>
      </c>
      <c r="K26" s="255">
        <f>J26*F26</f>
        <v>0</v>
      </c>
      <c r="L26" s="257"/>
      <c r="N26" s="689"/>
    </row>
    <row r="27" spans="1:14" ht="15" hidden="1" customHeight="1" x14ac:dyDescent="0.35">
      <c r="A27" s="356"/>
      <c r="C27" t="s">
        <v>34</v>
      </c>
      <c r="F27" s="23"/>
      <c r="G27" s="23">
        <v>0</v>
      </c>
      <c r="H27" s="23"/>
      <c r="I27" s="263"/>
      <c r="J27" s="23"/>
      <c r="K27" s="23"/>
      <c r="N27" s="689"/>
    </row>
    <row r="28" spans="1:14" ht="15" hidden="1" customHeight="1" x14ac:dyDescent="0.35">
      <c r="A28" s="356"/>
      <c r="C28" t="s">
        <v>35</v>
      </c>
      <c r="F28" s="23"/>
      <c r="G28" s="23">
        <v>1</v>
      </c>
      <c r="H28" s="23"/>
      <c r="I28" s="263"/>
      <c r="J28" s="23"/>
      <c r="K28" s="23"/>
      <c r="N28" s="689"/>
    </row>
    <row r="29" spans="1:14" ht="15" hidden="1" customHeight="1" x14ac:dyDescent="0.35">
      <c r="A29" s="356"/>
      <c r="C29" t="s">
        <v>36</v>
      </c>
      <c r="F29" s="23"/>
      <c r="G29" s="23">
        <v>3</v>
      </c>
      <c r="H29" s="23"/>
      <c r="I29" s="263"/>
      <c r="J29" s="23"/>
      <c r="K29" s="23"/>
      <c r="N29" s="689"/>
    </row>
    <row r="30" spans="1:14" ht="15" hidden="1" customHeight="1" x14ac:dyDescent="0.35">
      <c r="A30" s="356"/>
      <c r="C30" t="s">
        <v>37</v>
      </c>
      <c r="F30" s="23"/>
      <c r="G30" s="23">
        <v>5</v>
      </c>
      <c r="H30" s="23"/>
      <c r="I30" s="263"/>
      <c r="J30" s="23"/>
      <c r="K30" s="23"/>
      <c r="N30" s="689"/>
    </row>
    <row r="31" spans="1:14" x14ac:dyDescent="0.35">
      <c r="A31" s="356"/>
      <c r="F31" s="23"/>
      <c r="G31" s="23"/>
      <c r="H31" s="23"/>
      <c r="I31" s="263"/>
      <c r="J31" s="23"/>
      <c r="K31" s="23"/>
      <c r="N31" s="689"/>
    </row>
    <row r="32" spans="1:14" x14ac:dyDescent="0.35">
      <c r="A32" s="356"/>
      <c r="B32" s="664" t="s">
        <v>401</v>
      </c>
      <c r="C32" s="665"/>
      <c r="D32" s="665"/>
      <c r="E32" s="665"/>
      <c r="F32" s="220">
        <v>15</v>
      </c>
      <c r="G32" s="220">
        <f>G33</f>
        <v>5</v>
      </c>
      <c r="H32" s="220"/>
      <c r="I32" s="381"/>
      <c r="J32" s="220">
        <f>J33</f>
        <v>0</v>
      </c>
      <c r="K32" s="220">
        <f>K33</f>
        <v>0</v>
      </c>
      <c r="L32" s="221">
        <f>K32/(F33*G33)</f>
        <v>0</v>
      </c>
      <c r="N32" s="689"/>
    </row>
    <row r="33" spans="1:14" ht="42" customHeight="1" x14ac:dyDescent="0.35">
      <c r="A33" s="356"/>
      <c r="B33" s="666" t="s">
        <v>38</v>
      </c>
      <c r="C33" s="667"/>
      <c r="D33" s="667"/>
      <c r="E33" s="668"/>
      <c r="F33" s="255">
        <v>15</v>
      </c>
      <c r="G33" s="255">
        <v>5</v>
      </c>
      <c r="H33" s="256" t="s">
        <v>21</v>
      </c>
      <c r="I33" s="380"/>
      <c r="J33" s="255">
        <f>IF(I33=C34,G34,IF(I33=C35,G35,IF(I33=C36,G36,IF(I33=C37,G37,))))</f>
        <v>0</v>
      </c>
      <c r="K33" s="255">
        <f>J33*F33</f>
        <v>0</v>
      </c>
      <c r="L33" s="257"/>
      <c r="N33" s="689"/>
    </row>
    <row r="34" spans="1:14" ht="15" hidden="1" customHeight="1" x14ac:dyDescent="0.35">
      <c r="A34" s="356"/>
      <c r="C34" t="s">
        <v>39</v>
      </c>
      <c r="F34" s="23"/>
      <c r="G34" s="23">
        <v>0</v>
      </c>
      <c r="H34" s="23"/>
      <c r="I34" s="263"/>
      <c r="J34" s="23"/>
      <c r="K34" s="23"/>
      <c r="N34" s="689"/>
    </row>
    <row r="35" spans="1:14" ht="15" hidden="1" customHeight="1" x14ac:dyDescent="0.35">
      <c r="A35" s="356"/>
      <c r="C35" t="s">
        <v>40</v>
      </c>
      <c r="F35" s="23"/>
      <c r="G35" s="23">
        <v>1</v>
      </c>
      <c r="H35" s="23"/>
      <c r="I35" s="263"/>
      <c r="J35" s="23"/>
      <c r="K35" s="23"/>
      <c r="N35" s="689"/>
    </row>
    <row r="36" spans="1:14" ht="15" hidden="1" customHeight="1" x14ac:dyDescent="0.35">
      <c r="A36" s="356"/>
      <c r="C36" t="s">
        <v>41</v>
      </c>
      <c r="F36" s="23"/>
      <c r="G36" s="23">
        <v>2</v>
      </c>
      <c r="H36" s="23"/>
      <c r="I36" s="263"/>
      <c r="J36" s="23"/>
      <c r="K36" s="23"/>
      <c r="N36" s="689"/>
    </row>
    <row r="37" spans="1:14" ht="15" hidden="1" customHeight="1" x14ac:dyDescent="0.35">
      <c r="A37" s="356"/>
      <c r="C37" t="s">
        <v>42</v>
      </c>
      <c r="F37" s="23"/>
      <c r="G37" s="23">
        <v>5</v>
      </c>
      <c r="H37" s="23"/>
      <c r="I37" s="263"/>
      <c r="J37" s="23"/>
      <c r="K37" s="23"/>
      <c r="N37" s="689"/>
    </row>
    <row r="38" spans="1:14" x14ac:dyDescent="0.35">
      <c r="A38" s="356"/>
      <c r="F38" s="23"/>
      <c r="G38" s="23"/>
      <c r="H38" s="23"/>
      <c r="I38" s="263"/>
      <c r="J38" s="23"/>
      <c r="K38" s="23"/>
      <c r="N38" s="689"/>
    </row>
    <row r="39" spans="1:14" x14ac:dyDescent="0.35">
      <c r="A39" s="356"/>
      <c r="B39" s="219" t="s">
        <v>43</v>
      </c>
      <c r="C39" s="219"/>
      <c r="D39" s="219"/>
      <c r="E39" s="219"/>
      <c r="F39" s="220">
        <v>15</v>
      </c>
      <c r="G39" s="220">
        <f>G40</f>
        <v>5</v>
      </c>
      <c r="H39" s="220"/>
      <c r="I39" s="381"/>
      <c r="J39" s="220">
        <f>J40</f>
        <v>0</v>
      </c>
      <c r="K39" s="220">
        <f>K40</f>
        <v>0</v>
      </c>
      <c r="L39" s="221">
        <f>K39/(F40*G40)</f>
        <v>0</v>
      </c>
      <c r="N39" s="689"/>
    </row>
    <row r="40" spans="1:14" ht="40.9" customHeight="1" x14ac:dyDescent="0.35">
      <c r="A40" s="356"/>
      <c r="B40" s="666" t="s">
        <v>44</v>
      </c>
      <c r="C40" s="667"/>
      <c r="D40" s="667"/>
      <c r="E40" s="668"/>
      <c r="F40" s="255">
        <v>15</v>
      </c>
      <c r="G40" s="255">
        <v>5</v>
      </c>
      <c r="H40" s="256" t="s">
        <v>21</v>
      </c>
      <c r="I40" s="380"/>
      <c r="J40" s="255">
        <f>IF(I40=C41,G41,IF(I40=C42,G42,IF(I40=C43,G43,IF(I40=C44,G44,IF(I40=C45,G45,IF(I40=C46,G46,IF(I40=C47,G47,)))))))</f>
        <v>0</v>
      </c>
      <c r="K40" s="255">
        <f>J40*F40</f>
        <v>0</v>
      </c>
      <c r="L40" s="257"/>
      <c r="N40" s="689"/>
    </row>
    <row r="41" spans="1:14" ht="14.65" hidden="1" customHeight="1" x14ac:dyDescent="0.35">
      <c r="A41" s="356"/>
      <c r="C41" t="s">
        <v>45</v>
      </c>
      <c r="F41" s="23"/>
      <c r="G41" s="23">
        <v>0</v>
      </c>
      <c r="H41" s="23"/>
      <c r="I41" s="263"/>
      <c r="J41" s="23"/>
      <c r="K41" s="23"/>
      <c r="N41" s="689"/>
    </row>
    <row r="42" spans="1:14" ht="15" hidden="1" customHeight="1" x14ac:dyDescent="0.35">
      <c r="A42" s="356"/>
      <c r="C42" t="s">
        <v>46</v>
      </c>
      <c r="F42" s="23"/>
      <c r="G42" s="23">
        <v>1</v>
      </c>
      <c r="H42" s="23"/>
      <c r="I42" s="263"/>
      <c r="J42" s="23"/>
      <c r="K42" s="23"/>
      <c r="N42" s="689"/>
    </row>
    <row r="43" spans="1:14" ht="15" hidden="1" customHeight="1" x14ac:dyDescent="0.35">
      <c r="A43" s="356"/>
      <c r="C43" t="s">
        <v>47</v>
      </c>
      <c r="F43" s="23"/>
      <c r="G43" s="23">
        <v>2</v>
      </c>
      <c r="H43" s="23"/>
      <c r="I43" s="263"/>
      <c r="J43" s="23"/>
      <c r="K43" s="23"/>
      <c r="N43" s="689"/>
    </row>
    <row r="44" spans="1:14" ht="15" hidden="1" customHeight="1" x14ac:dyDescent="0.35">
      <c r="A44" s="356"/>
      <c r="C44" t="s">
        <v>48</v>
      </c>
      <c r="F44" s="23"/>
      <c r="G44" s="23">
        <v>3</v>
      </c>
      <c r="H44" s="23"/>
      <c r="I44" s="263"/>
      <c r="J44" s="23"/>
      <c r="K44" s="23"/>
      <c r="N44" s="689"/>
    </row>
    <row r="45" spans="1:14" ht="15" hidden="1" customHeight="1" x14ac:dyDescent="0.35">
      <c r="A45" s="356"/>
      <c r="C45" t="s">
        <v>49</v>
      </c>
      <c r="F45" s="23"/>
      <c r="G45" s="23">
        <v>4</v>
      </c>
      <c r="H45" s="23"/>
      <c r="I45" s="263"/>
      <c r="J45" s="23"/>
      <c r="K45" s="23"/>
      <c r="N45" s="689"/>
    </row>
    <row r="46" spans="1:14" ht="15" hidden="1" customHeight="1" x14ac:dyDescent="0.35">
      <c r="A46" s="356"/>
      <c r="C46" t="s">
        <v>50</v>
      </c>
      <c r="F46" s="23"/>
      <c r="G46" s="23">
        <v>5</v>
      </c>
      <c r="H46" s="23"/>
      <c r="I46" s="263"/>
      <c r="J46" s="23"/>
      <c r="K46" s="23"/>
      <c r="N46" s="689"/>
    </row>
    <row r="47" spans="1:14" x14ac:dyDescent="0.35">
      <c r="A47" s="356"/>
      <c r="F47" s="23"/>
      <c r="G47" s="23"/>
      <c r="H47" s="23"/>
      <c r="I47" s="263"/>
      <c r="J47" s="23"/>
      <c r="K47" s="23"/>
      <c r="N47" s="689"/>
    </row>
    <row r="48" spans="1:14" x14ac:dyDescent="0.35">
      <c r="A48" s="356"/>
      <c r="B48" s="219" t="s">
        <v>51</v>
      </c>
      <c r="C48" s="219"/>
      <c r="D48" s="219"/>
      <c r="E48" s="219"/>
      <c r="F48" s="220">
        <v>10</v>
      </c>
      <c r="G48" s="220">
        <f>SUM(G49,G53,G57,G61,G65,G69,G73,G77,G81,G85)</f>
        <v>50</v>
      </c>
      <c r="H48" s="220"/>
      <c r="I48" s="381"/>
      <c r="J48" s="220">
        <f>SUM(J49,J53,J57,J61,J65,J69,J73,J77,J81,J85)</f>
        <v>0</v>
      </c>
      <c r="K48" s="220">
        <f>SUM(K49,K53,K57,K61,K65,K69,K73,K77,K81,K85)</f>
        <v>0</v>
      </c>
      <c r="L48" s="221">
        <f>K48/((F49*G49)+(F53*G53)+(F57*G57)+(F61*G61)+(F65*G65)+(F69*G69)+(F73*G73)+(F77*G77)+(F81*G81)+(F85*G85))</f>
        <v>0</v>
      </c>
      <c r="N48" s="689"/>
    </row>
    <row r="49" spans="1:14" ht="30.75" customHeight="1" x14ac:dyDescent="0.35">
      <c r="A49" s="356"/>
      <c r="B49" s="666" t="s">
        <v>52</v>
      </c>
      <c r="C49" s="667"/>
      <c r="D49" s="667"/>
      <c r="E49" s="668"/>
      <c r="F49" s="255">
        <v>1</v>
      </c>
      <c r="G49" s="255">
        <v>5</v>
      </c>
      <c r="H49" s="256" t="s">
        <v>21</v>
      </c>
      <c r="I49" s="380"/>
      <c r="J49" s="255">
        <f>IF(I49=C50,G50,IF(I49=C51,G51,IF(I49=C52,G52,)))</f>
        <v>0</v>
      </c>
      <c r="K49" s="255">
        <f>J49*F49</f>
        <v>0</v>
      </c>
      <c r="L49" s="257"/>
      <c r="N49" s="689"/>
    </row>
    <row r="50" spans="1:14" ht="14.65" hidden="1" customHeight="1" x14ac:dyDescent="0.35">
      <c r="A50" s="356"/>
      <c r="B50" s="33"/>
      <c r="C50" t="s">
        <v>53</v>
      </c>
      <c r="F50" s="23"/>
      <c r="G50" s="23">
        <v>5</v>
      </c>
      <c r="H50" s="23"/>
      <c r="I50" s="263"/>
      <c r="J50" s="23"/>
      <c r="K50" s="23"/>
      <c r="N50" s="689"/>
    </row>
    <row r="51" spans="1:14" ht="15" hidden="1" customHeight="1" x14ac:dyDescent="0.35">
      <c r="A51" s="356"/>
      <c r="B51" s="33"/>
      <c r="C51" t="s">
        <v>54</v>
      </c>
      <c r="F51" s="23"/>
      <c r="G51" s="23">
        <v>0</v>
      </c>
      <c r="H51" s="23"/>
      <c r="I51" s="263"/>
      <c r="J51" s="23"/>
      <c r="K51" s="23"/>
      <c r="N51" s="689"/>
    </row>
    <row r="52" spans="1:14" x14ac:dyDescent="0.35">
      <c r="A52" s="356"/>
      <c r="B52" s="33"/>
      <c r="F52" s="23"/>
      <c r="G52" s="23"/>
      <c r="H52" s="23"/>
      <c r="I52" s="263"/>
      <c r="J52" s="23"/>
      <c r="K52" s="23"/>
      <c r="N52" s="689"/>
    </row>
    <row r="53" spans="1:14" ht="24.65" customHeight="1" x14ac:dyDescent="0.35">
      <c r="A53" s="356"/>
      <c r="B53" s="666" t="s">
        <v>55</v>
      </c>
      <c r="C53" s="667"/>
      <c r="D53" s="667"/>
      <c r="E53" s="668"/>
      <c r="F53" s="255">
        <v>1</v>
      </c>
      <c r="G53" s="255">
        <v>5</v>
      </c>
      <c r="H53" s="256" t="s">
        <v>21</v>
      </c>
      <c r="I53" s="380"/>
      <c r="J53" s="255">
        <f>IF(I53=C54,G54,IF(I53=C55,G55,IF(I53=C56,G56,)))</f>
        <v>0</v>
      </c>
      <c r="K53" s="255">
        <f>J53*F53</f>
        <v>0</v>
      </c>
      <c r="L53" s="257"/>
      <c r="N53" s="689"/>
    </row>
    <row r="54" spans="1:14" ht="15" hidden="1" customHeight="1" x14ac:dyDescent="0.35">
      <c r="A54" s="356"/>
      <c r="B54" s="33"/>
      <c r="C54" t="s">
        <v>53</v>
      </c>
      <c r="F54" s="23"/>
      <c r="G54" s="23">
        <v>5</v>
      </c>
      <c r="H54" s="23"/>
      <c r="I54" s="263"/>
      <c r="J54" s="23"/>
      <c r="K54" s="23"/>
      <c r="N54" s="689"/>
    </row>
    <row r="55" spans="1:14" ht="15" hidden="1" customHeight="1" x14ac:dyDescent="0.35">
      <c r="A55" s="356"/>
      <c r="B55" s="33"/>
      <c r="C55" t="s">
        <v>54</v>
      </c>
      <c r="F55" s="23"/>
      <c r="G55" s="23">
        <v>0</v>
      </c>
      <c r="H55" s="23"/>
      <c r="I55" s="263"/>
      <c r="J55" s="23"/>
      <c r="K55" s="23"/>
      <c r="N55" s="689"/>
    </row>
    <row r="56" spans="1:14" x14ac:dyDescent="0.35">
      <c r="A56" s="356"/>
      <c r="B56" s="33"/>
      <c r="F56" s="23"/>
      <c r="G56" s="23"/>
      <c r="H56" s="23"/>
      <c r="I56" s="263"/>
      <c r="J56" s="23"/>
      <c r="K56" s="23"/>
      <c r="N56" s="689"/>
    </row>
    <row r="57" spans="1:14" ht="24.65" customHeight="1" x14ac:dyDescent="0.35">
      <c r="A57" s="356"/>
      <c r="B57" s="666" t="s">
        <v>56</v>
      </c>
      <c r="C57" s="667"/>
      <c r="D57" s="667"/>
      <c r="E57" s="668"/>
      <c r="F57" s="255">
        <v>1</v>
      </c>
      <c r="G57" s="255">
        <v>5</v>
      </c>
      <c r="H57" s="256" t="s">
        <v>21</v>
      </c>
      <c r="I57" s="380"/>
      <c r="J57" s="255">
        <f>IF(I57=C58,G58,IF(I57=C59,G59,IF(I57=C60,G60,)))</f>
        <v>0</v>
      </c>
      <c r="K57" s="255">
        <f>J57*F57</f>
        <v>0</v>
      </c>
      <c r="L57" s="257"/>
      <c r="N57" s="689"/>
    </row>
    <row r="58" spans="1:14" ht="15" hidden="1" customHeight="1" x14ac:dyDescent="0.35">
      <c r="A58" s="356"/>
      <c r="B58" s="33"/>
      <c r="C58" t="s">
        <v>53</v>
      </c>
      <c r="F58" s="23"/>
      <c r="G58" s="23">
        <v>5</v>
      </c>
      <c r="H58" s="23"/>
      <c r="I58" s="263"/>
      <c r="J58" s="23"/>
      <c r="K58" s="23"/>
      <c r="N58" s="689"/>
    </row>
    <row r="59" spans="1:14" ht="15" hidden="1" customHeight="1" x14ac:dyDescent="0.35">
      <c r="A59" s="356"/>
      <c r="B59" s="33"/>
      <c r="C59" t="s">
        <v>54</v>
      </c>
      <c r="F59" s="23"/>
      <c r="G59" s="23">
        <v>0</v>
      </c>
      <c r="H59" s="23"/>
      <c r="I59" s="263"/>
      <c r="J59" s="23"/>
      <c r="K59" s="23"/>
      <c r="N59" s="689"/>
    </row>
    <row r="60" spans="1:14" x14ac:dyDescent="0.35">
      <c r="A60" s="356"/>
      <c r="B60" s="33"/>
      <c r="F60" s="23"/>
      <c r="G60" s="23"/>
      <c r="H60" s="23"/>
      <c r="I60" s="263"/>
      <c r="J60" s="23"/>
      <c r="K60" s="23"/>
      <c r="N60" s="689"/>
    </row>
    <row r="61" spans="1:14" ht="24.65" customHeight="1" x14ac:dyDescent="0.35">
      <c r="A61" s="356"/>
      <c r="B61" s="666" t="s">
        <v>57</v>
      </c>
      <c r="C61" s="667"/>
      <c r="D61" s="667"/>
      <c r="E61" s="668"/>
      <c r="F61" s="255">
        <v>1</v>
      </c>
      <c r="G61" s="255">
        <v>5</v>
      </c>
      <c r="H61" s="256" t="s">
        <v>21</v>
      </c>
      <c r="I61" s="380"/>
      <c r="J61" s="255">
        <f>IF(I61=C62,G62,IF(I61=C63,G63,IF(I61=C64,G64,)))</f>
        <v>0</v>
      </c>
      <c r="K61" s="255">
        <f>J61*F61</f>
        <v>0</v>
      </c>
      <c r="L61" s="257"/>
      <c r="N61" s="689"/>
    </row>
    <row r="62" spans="1:14" ht="15" hidden="1" customHeight="1" x14ac:dyDescent="0.35">
      <c r="A62" s="356"/>
      <c r="B62" s="33"/>
      <c r="C62" t="s">
        <v>53</v>
      </c>
      <c r="F62" s="23"/>
      <c r="G62" s="23">
        <v>5</v>
      </c>
      <c r="H62" s="23"/>
      <c r="I62" s="263"/>
      <c r="J62" s="23"/>
      <c r="K62" s="23"/>
      <c r="N62" s="689"/>
    </row>
    <row r="63" spans="1:14" ht="15" hidden="1" customHeight="1" x14ac:dyDescent="0.35">
      <c r="A63" s="356"/>
      <c r="B63" s="33"/>
      <c r="C63" t="s">
        <v>54</v>
      </c>
      <c r="F63" s="23"/>
      <c r="G63" s="23">
        <v>0</v>
      </c>
      <c r="H63" s="23"/>
      <c r="I63" s="263"/>
      <c r="J63" s="23"/>
      <c r="K63" s="23"/>
      <c r="N63" s="689"/>
    </row>
    <row r="64" spans="1:14" x14ac:dyDescent="0.35">
      <c r="A64" s="356"/>
      <c r="B64" s="33"/>
      <c r="F64" s="23"/>
      <c r="G64" s="23"/>
      <c r="H64" s="23"/>
      <c r="I64" s="263"/>
      <c r="J64" s="23"/>
      <c r="K64" s="23"/>
      <c r="N64" s="689"/>
    </row>
    <row r="65" spans="1:14" ht="24.65" customHeight="1" x14ac:dyDescent="0.35">
      <c r="A65" s="356"/>
      <c r="B65" s="666" t="s">
        <v>58</v>
      </c>
      <c r="C65" s="667"/>
      <c r="D65" s="667"/>
      <c r="E65" s="668"/>
      <c r="F65" s="255">
        <v>1</v>
      </c>
      <c r="G65" s="255">
        <v>5</v>
      </c>
      <c r="H65" s="256" t="s">
        <v>21</v>
      </c>
      <c r="I65" s="380"/>
      <c r="J65" s="255">
        <f>IF(I65=C66,G66,IF(I65=C67,G67,IF(I65=C68,G68,)))</f>
        <v>0</v>
      </c>
      <c r="K65" s="255">
        <f>J65*F65</f>
        <v>0</v>
      </c>
      <c r="L65" s="257"/>
      <c r="N65" s="689"/>
    </row>
    <row r="66" spans="1:14" ht="15" hidden="1" customHeight="1" x14ac:dyDescent="0.35">
      <c r="A66" s="356"/>
      <c r="B66" s="33"/>
      <c r="C66" t="s">
        <v>53</v>
      </c>
      <c r="F66" s="23"/>
      <c r="G66" s="23">
        <v>5</v>
      </c>
      <c r="H66" s="23"/>
      <c r="I66" s="263"/>
      <c r="J66" s="23"/>
      <c r="K66" s="23"/>
      <c r="N66" s="689"/>
    </row>
    <row r="67" spans="1:14" ht="15" hidden="1" customHeight="1" x14ac:dyDescent="0.35">
      <c r="A67" s="356"/>
      <c r="B67" s="33"/>
      <c r="C67" t="s">
        <v>54</v>
      </c>
      <c r="F67" s="23"/>
      <c r="G67" s="23">
        <v>0</v>
      </c>
      <c r="H67" s="23"/>
      <c r="I67" s="263"/>
      <c r="J67" s="23"/>
      <c r="K67" s="23"/>
      <c r="N67" s="689"/>
    </row>
    <row r="68" spans="1:14" x14ac:dyDescent="0.35">
      <c r="A68" s="356"/>
      <c r="B68" s="33"/>
      <c r="F68" s="23"/>
      <c r="G68" s="23"/>
      <c r="H68" s="23"/>
      <c r="I68" s="263"/>
      <c r="J68" s="23"/>
      <c r="K68" s="23"/>
      <c r="N68" s="689"/>
    </row>
    <row r="69" spans="1:14" ht="33.75" customHeight="1" x14ac:dyDescent="0.35">
      <c r="A69" s="356"/>
      <c r="B69" s="666" t="s">
        <v>59</v>
      </c>
      <c r="C69" s="667"/>
      <c r="D69" s="667"/>
      <c r="E69" s="668"/>
      <c r="F69" s="255">
        <v>1</v>
      </c>
      <c r="G69" s="255">
        <v>5</v>
      </c>
      <c r="H69" s="256" t="s">
        <v>21</v>
      </c>
      <c r="I69" s="380"/>
      <c r="J69" s="255">
        <f>IF(I69=C70,G70,IF(I69=C71,G71,IF(I69=C72,G72,)))</f>
        <v>0</v>
      </c>
      <c r="K69" s="255">
        <f>J69*F69</f>
        <v>0</v>
      </c>
      <c r="L69" s="257"/>
      <c r="N69" s="689"/>
    </row>
    <row r="70" spans="1:14" ht="14.65" hidden="1" customHeight="1" x14ac:dyDescent="0.35">
      <c r="A70" s="356"/>
      <c r="B70" s="33"/>
      <c r="C70" t="s">
        <v>53</v>
      </c>
      <c r="F70" s="23"/>
      <c r="G70" s="23">
        <v>5</v>
      </c>
      <c r="H70" s="23"/>
      <c r="I70" s="263"/>
      <c r="J70" s="23"/>
      <c r="K70" s="23"/>
      <c r="N70" s="689"/>
    </row>
    <row r="71" spans="1:14" ht="14.65" hidden="1" customHeight="1" x14ac:dyDescent="0.35">
      <c r="A71" s="356"/>
      <c r="B71" s="33"/>
      <c r="C71" t="s">
        <v>54</v>
      </c>
      <c r="F71" s="23"/>
      <c r="G71" s="23">
        <v>0</v>
      </c>
      <c r="H71" s="23"/>
      <c r="I71" s="263"/>
      <c r="J71" s="23"/>
      <c r="K71" s="23"/>
      <c r="N71" s="689"/>
    </row>
    <row r="72" spans="1:14" ht="15" customHeight="1" x14ac:dyDescent="0.35">
      <c r="A72" s="356"/>
      <c r="B72" s="33"/>
      <c r="F72" s="23"/>
      <c r="G72" s="23"/>
      <c r="H72" s="23"/>
      <c r="I72" s="263"/>
      <c r="J72" s="23"/>
      <c r="K72" s="23"/>
      <c r="N72" s="689"/>
    </row>
    <row r="73" spans="1:14" ht="24.65" customHeight="1" x14ac:dyDescent="0.35">
      <c r="A73" s="356"/>
      <c r="B73" s="666" t="s">
        <v>60</v>
      </c>
      <c r="C73" s="667"/>
      <c r="D73" s="667"/>
      <c r="E73" s="668"/>
      <c r="F73" s="255">
        <v>1</v>
      </c>
      <c r="G73" s="255">
        <v>5</v>
      </c>
      <c r="H73" s="256" t="s">
        <v>21</v>
      </c>
      <c r="I73" s="380"/>
      <c r="J73" s="255">
        <f>IF(I73=C74,G74,IF(I73=C75,G75,IF(I73=C76,G76,)))</f>
        <v>0</v>
      </c>
      <c r="K73" s="255">
        <f>J73*F73</f>
        <v>0</v>
      </c>
      <c r="L73" s="257"/>
      <c r="N73" s="689"/>
    </row>
    <row r="74" spans="1:14" ht="15" hidden="1" customHeight="1" x14ac:dyDescent="0.35">
      <c r="A74" s="356"/>
      <c r="B74" s="33"/>
      <c r="C74" t="s">
        <v>53</v>
      </c>
      <c r="F74" s="23"/>
      <c r="G74" s="23">
        <v>5</v>
      </c>
      <c r="H74" s="23"/>
      <c r="I74" s="263"/>
      <c r="J74" s="23"/>
      <c r="K74" s="23"/>
      <c r="N74" s="689"/>
    </row>
    <row r="75" spans="1:14" ht="15" hidden="1" customHeight="1" x14ac:dyDescent="0.35">
      <c r="A75" s="356"/>
      <c r="B75" s="33"/>
      <c r="C75" t="s">
        <v>54</v>
      </c>
      <c r="F75" s="23"/>
      <c r="G75" s="23">
        <v>0</v>
      </c>
      <c r="H75" s="23"/>
      <c r="I75" s="263"/>
      <c r="J75" s="23"/>
      <c r="K75" s="23"/>
      <c r="N75" s="689"/>
    </row>
    <row r="76" spans="1:14" x14ac:dyDescent="0.35">
      <c r="A76" s="356"/>
      <c r="B76" s="33"/>
      <c r="F76" s="23"/>
      <c r="G76" s="23"/>
      <c r="H76" s="23"/>
      <c r="I76" s="263"/>
      <c r="J76" s="23"/>
      <c r="K76" s="23"/>
      <c r="N76" s="689"/>
    </row>
    <row r="77" spans="1:14" ht="24.65" customHeight="1" x14ac:dyDescent="0.35">
      <c r="A77" s="356"/>
      <c r="B77" s="666" t="s">
        <v>61</v>
      </c>
      <c r="C77" s="667"/>
      <c r="D77" s="667"/>
      <c r="E77" s="668"/>
      <c r="F77" s="255">
        <v>1</v>
      </c>
      <c r="G77" s="255">
        <v>5</v>
      </c>
      <c r="H77" s="256" t="s">
        <v>21</v>
      </c>
      <c r="I77" s="380"/>
      <c r="J77" s="255">
        <f>IF(I77=C78,G78,IF(I77=C79,G79,IF(I77=C80,G80,)))</f>
        <v>0</v>
      </c>
      <c r="K77" s="255">
        <f>J77*F77</f>
        <v>0</v>
      </c>
      <c r="L77" s="257"/>
      <c r="N77" s="689"/>
    </row>
    <row r="78" spans="1:14" ht="15" hidden="1" customHeight="1" x14ac:dyDescent="0.35">
      <c r="A78" s="356"/>
      <c r="B78" s="33"/>
      <c r="C78" t="s">
        <v>53</v>
      </c>
      <c r="F78" s="23"/>
      <c r="G78" s="23">
        <v>5</v>
      </c>
      <c r="H78" s="23"/>
      <c r="I78" s="263"/>
      <c r="J78" s="23"/>
      <c r="K78" s="23"/>
      <c r="N78" s="689"/>
    </row>
    <row r="79" spans="1:14" ht="15" hidden="1" customHeight="1" x14ac:dyDescent="0.35">
      <c r="A79" s="356"/>
      <c r="B79" s="33"/>
      <c r="C79" t="s">
        <v>54</v>
      </c>
      <c r="F79" s="23"/>
      <c r="G79" s="23">
        <v>0</v>
      </c>
      <c r="H79" s="23"/>
      <c r="I79" s="263"/>
      <c r="J79" s="23"/>
      <c r="K79" s="23"/>
      <c r="N79" s="689"/>
    </row>
    <row r="80" spans="1:14" x14ac:dyDescent="0.35">
      <c r="A80" s="356"/>
      <c r="B80" s="33"/>
      <c r="F80" s="23"/>
      <c r="G80" s="23"/>
      <c r="H80" s="23"/>
      <c r="I80" s="263"/>
      <c r="J80" s="23"/>
      <c r="K80" s="23"/>
      <c r="N80" s="689"/>
    </row>
    <row r="81" spans="1:14" ht="32.25" customHeight="1" x14ac:dyDescent="0.35">
      <c r="A81" s="356"/>
      <c r="B81" s="666" t="s">
        <v>62</v>
      </c>
      <c r="C81" s="667"/>
      <c r="D81" s="667"/>
      <c r="E81" s="668"/>
      <c r="F81" s="255">
        <v>1</v>
      </c>
      <c r="G81" s="255">
        <v>5</v>
      </c>
      <c r="H81" s="256" t="s">
        <v>21</v>
      </c>
      <c r="I81" s="380"/>
      <c r="J81" s="255">
        <f>IF(I81=C82,G82,IF(I81=C83,G83,IF(I81=C84,G84,)))</f>
        <v>0</v>
      </c>
      <c r="K81" s="255">
        <f>J81*F81</f>
        <v>0</v>
      </c>
      <c r="L81" s="257"/>
      <c r="N81" s="689"/>
    </row>
    <row r="82" spans="1:14" ht="15" hidden="1" customHeight="1" x14ac:dyDescent="0.35">
      <c r="A82" s="356"/>
      <c r="B82" s="33"/>
      <c r="C82" t="s">
        <v>53</v>
      </c>
      <c r="F82" s="23"/>
      <c r="G82" s="23">
        <v>5</v>
      </c>
      <c r="H82" s="23"/>
      <c r="I82" s="263"/>
      <c r="J82" s="23"/>
      <c r="K82" s="23"/>
      <c r="N82" s="689"/>
    </row>
    <row r="83" spans="1:14" ht="15" hidden="1" customHeight="1" x14ac:dyDescent="0.35">
      <c r="A83" s="356"/>
      <c r="B83" s="33"/>
      <c r="C83" t="s">
        <v>54</v>
      </c>
      <c r="F83" s="23"/>
      <c r="G83" s="23">
        <v>0</v>
      </c>
      <c r="H83" s="23"/>
      <c r="I83" s="263"/>
      <c r="J83" s="23"/>
      <c r="K83" s="23"/>
      <c r="N83" s="689"/>
    </row>
    <row r="84" spans="1:14" x14ac:dyDescent="0.35">
      <c r="A84" s="356"/>
      <c r="B84" s="33"/>
      <c r="F84" s="23"/>
      <c r="G84" s="23"/>
      <c r="H84" s="23"/>
      <c r="I84" s="263"/>
      <c r="J84" s="23"/>
      <c r="K84" s="23"/>
      <c r="N84" s="689"/>
    </row>
    <row r="85" spans="1:14" ht="30.75" customHeight="1" x14ac:dyDescent="0.35">
      <c r="A85" s="356"/>
      <c r="B85" s="666" t="s">
        <v>63</v>
      </c>
      <c r="C85" s="667"/>
      <c r="D85" s="667"/>
      <c r="E85" s="668"/>
      <c r="F85" s="255">
        <v>1</v>
      </c>
      <c r="G85" s="255">
        <v>5</v>
      </c>
      <c r="H85" s="256" t="s">
        <v>21</v>
      </c>
      <c r="I85" s="380"/>
      <c r="J85" s="255">
        <f>IF(I85=C86,G86,IF(I85=C87,G87,IF(I85=C88,G88,)))</f>
        <v>0</v>
      </c>
      <c r="K85" s="255">
        <f>J85*F85</f>
        <v>0</v>
      </c>
      <c r="L85" s="257"/>
      <c r="N85" s="689"/>
    </row>
    <row r="86" spans="1:14" ht="14.65" hidden="1" customHeight="1" x14ac:dyDescent="0.35">
      <c r="A86" s="356"/>
      <c r="C86" t="s">
        <v>53</v>
      </c>
      <c r="F86" s="23"/>
      <c r="G86" s="23">
        <v>5</v>
      </c>
      <c r="H86" s="23"/>
      <c r="I86" s="263"/>
      <c r="J86" s="23"/>
      <c r="K86" s="23"/>
      <c r="N86" s="689"/>
    </row>
    <row r="87" spans="1:14" ht="15" hidden="1" customHeight="1" x14ac:dyDescent="0.35">
      <c r="A87" s="356"/>
      <c r="C87" t="s">
        <v>54</v>
      </c>
      <c r="F87" s="23"/>
      <c r="G87" s="23">
        <v>0</v>
      </c>
      <c r="H87" s="23"/>
      <c r="I87" s="263"/>
      <c r="J87" s="23"/>
      <c r="K87" s="23"/>
      <c r="N87" s="689"/>
    </row>
    <row r="88" spans="1:14" x14ac:dyDescent="0.35">
      <c r="A88" s="356"/>
      <c r="F88" s="23"/>
      <c r="G88" s="23"/>
      <c r="H88" s="23"/>
      <c r="I88" s="263"/>
      <c r="J88" s="23"/>
      <c r="K88" s="23"/>
      <c r="N88" s="689"/>
    </row>
    <row r="89" spans="1:14" ht="29.5" customHeight="1" x14ac:dyDescent="0.35">
      <c r="A89" s="356"/>
      <c r="B89" s="660" t="s">
        <v>402</v>
      </c>
      <c r="C89" s="661"/>
      <c r="D89" s="661"/>
      <c r="E89" s="661"/>
      <c r="F89" s="220">
        <v>20</v>
      </c>
      <c r="G89" s="220">
        <v>10</v>
      </c>
      <c r="H89" s="220"/>
      <c r="I89" s="381"/>
      <c r="J89" s="220">
        <f t="shared" ref="J89:K89" si="0">J97+J90</f>
        <v>0</v>
      </c>
      <c r="K89" s="220">
        <f t="shared" si="0"/>
        <v>0</v>
      </c>
      <c r="L89" s="221">
        <f>(K90+K97)/((F90*G90)+(F97*G97))</f>
        <v>0</v>
      </c>
      <c r="N89" s="689"/>
    </row>
    <row r="90" spans="1:14" ht="51" customHeight="1" x14ac:dyDescent="0.35">
      <c r="A90" s="356"/>
      <c r="B90" s="666" t="s">
        <v>64</v>
      </c>
      <c r="C90" s="667"/>
      <c r="D90" s="667"/>
      <c r="E90" s="668"/>
      <c r="F90" s="255">
        <v>10</v>
      </c>
      <c r="G90" s="255">
        <v>5</v>
      </c>
      <c r="H90" s="256" t="s">
        <v>21</v>
      </c>
      <c r="I90" s="380"/>
      <c r="J90" s="255">
        <f>IF(I90=C91,G91,IF(I90=C92,G92,IF(I90=C93,G93,IF(I90=C94,G94,IF(I90=C95,G95,)))))</f>
        <v>0</v>
      </c>
      <c r="K90" s="255">
        <f>J90*F90</f>
        <v>0</v>
      </c>
      <c r="L90" s="257"/>
      <c r="N90" s="689"/>
    </row>
    <row r="91" spans="1:14" ht="15" hidden="1" customHeight="1" x14ac:dyDescent="0.35">
      <c r="A91" s="356"/>
      <c r="C91" t="s">
        <v>65</v>
      </c>
      <c r="F91" s="23"/>
      <c r="G91" s="23">
        <v>0</v>
      </c>
      <c r="H91" s="23"/>
      <c r="I91" s="263"/>
      <c r="J91" s="23"/>
      <c r="K91" s="23"/>
      <c r="N91" s="689"/>
    </row>
    <row r="92" spans="1:14" ht="15" hidden="1" customHeight="1" x14ac:dyDescent="0.35">
      <c r="A92" s="356"/>
      <c r="C92" t="s">
        <v>66</v>
      </c>
      <c r="F92" s="23"/>
      <c r="G92" s="23">
        <v>2</v>
      </c>
      <c r="H92" s="23"/>
      <c r="I92" s="263"/>
      <c r="J92" s="23"/>
      <c r="K92" s="23"/>
      <c r="N92" s="689"/>
    </row>
    <row r="93" spans="1:14" ht="15" hidden="1" customHeight="1" x14ac:dyDescent="0.35">
      <c r="A93" s="356"/>
      <c r="C93" t="s">
        <v>67</v>
      </c>
      <c r="F93" s="23"/>
      <c r="G93" s="23">
        <v>3</v>
      </c>
      <c r="H93" s="23"/>
      <c r="I93" s="263"/>
      <c r="J93" s="23"/>
      <c r="K93" s="23"/>
      <c r="N93" s="689"/>
    </row>
    <row r="94" spans="1:14" ht="15" hidden="1" customHeight="1" x14ac:dyDescent="0.35">
      <c r="A94" s="356"/>
      <c r="C94" t="s">
        <v>68</v>
      </c>
      <c r="F94" s="23"/>
      <c r="G94" s="23">
        <v>4</v>
      </c>
      <c r="H94" s="23"/>
      <c r="I94" s="263"/>
      <c r="J94" s="23"/>
      <c r="K94" s="23"/>
      <c r="N94" s="689"/>
    </row>
    <row r="95" spans="1:14" ht="15" hidden="1" customHeight="1" x14ac:dyDescent="0.35">
      <c r="A95" s="356"/>
      <c r="C95" t="s">
        <v>69</v>
      </c>
      <c r="F95" s="23"/>
      <c r="G95" s="23">
        <v>5</v>
      </c>
      <c r="H95" s="23"/>
      <c r="I95" s="263"/>
      <c r="J95" s="23"/>
      <c r="K95" s="23"/>
      <c r="N95" s="689"/>
    </row>
    <row r="96" spans="1:14" ht="15" customHeight="1" x14ac:dyDescent="0.35">
      <c r="A96" s="356"/>
      <c r="I96" s="263"/>
      <c r="J96" s="23"/>
      <c r="K96" s="23"/>
      <c r="N96" s="689"/>
    </row>
    <row r="97" spans="1:14" ht="40.9" customHeight="1" x14ac:dyDescent="0.35">
      <c r="A97" s="356"/>
      <c r="B97" s="666" t="s">
        <v>70</v>
      </c>
      <c r="C97" s="667"/>
      <c r="D97" s="667"/>
      <c r="E97" s="668"/>
      <c r="F97" s="255">
        <v>10</v>
      </c>
      <c r="G97" s="255">
        <v>5</v>
      </c>
      <c r="H97" s="256" t="s">
        <v>21</v>
      </c>
      <c r="I97" s="380"/>
      <c r="J97" s="255">
        <f>IF(I97=C98,G98,IF(I97=C99,G99,IF(I97=C100,G100,)))</f>
        <v>0</v>
      </c>
      <c r="K97" s="255">
        <f>J97*F97</f>
        <v>0</v>
      </c>
      <c r="L97" s="257"/>
      <c r="N97" s="689"/>
    </row>
    <row r="98" spans="1:14" ht="15" hidden="1" customHeight="1" x14ac:dyDescent="0.35">
      <c r="A98" s="356"/>
      <c r="C98" t="s">
        <v>71</v>
      </c>
      <c r="F98" s="23"/>
      <c r="G98" s="23">
        <v>0</v>
      </c>
      <c r="H98" s="23"/>
      <c r="I98" s="23"/>
      <c r="J98" s="23"/>
      <c r="K98" s="23"/>
      <c r="N98" s="689"/>
    </row>
    <row r="99" spans="1:14" ht="15" hidden="1" customHeight="1" x14ac:dyDescent="0.35">
      <c r="A99" s="356"/>
      <c r="C99" t="s">
        <v>72</v>
      </c>
      <c r="F99" s="23"/>
      <c r="G99" s="23">
        <v>2.5</v>
      </c>
      <c r="H99" s="23"/>
      <c r="I99" s="23"/>
      <c r="J99" s="23"/>
      <c r="K99" s="23"/>
      <c r="N99" s="689"/>
    </row>
    <row r="100" spans="1:14" ht="15" hidden="1" customHeight="1" x14ac:dyDescent="0.35">
      <c r="A100" s="356"/>
      <c r="C100" t="s">
        <v>73</v>
      </c>
      <c r="F100" s="23"/>
      <c r="G100" s="23">
        <v>5</v>
      </c>
      <c r="H100" s="23"/>
      <c r="I100" s="23"/>
      <c r="J100" s="23"/>
      <c r="K100" s="23"/>
      <c r="N100" s="689"/>
    </row>
    <row r="101" spans="1:14" x14ac:dyDescent="0.35">
      <c r="A101" s="356"/>
      <c r="F101" s="23"/>
      <c r="G101" s="23"/>
      <c r="H101" s="23"/>
      <c r="I101" s="23"/>
      <c r="J101" s="23"/>
      <c r="K101" s="23"/>
      <c r="N101" s="689"/>
    </row>
    <row r="102" spans="1:14" hidden="1" x14ac:dyDescent="0.35">
      <c r="A102" s="356"/>
      <c r="B102" s="660" t="s">
        <v>74</v>
      </c>
      <c r="C102" s="661"/>
      <c r="D102" s="661"/>
      <c r="E102" s="661"/>
      <c r="F102" s="220">
        <f>SUM(F10,F25,F32,F39,F48,F89)</f>
        <v>75</v>
      </c>
      <c r="G102" s="220"/>
      <c r="H102" s="220"/>
      <c r="I102" s="220"/>
      <c r="J102" s="220"/>
      <c r="K102" s="220">
        <f>SUM(K10,K25,K32,K39,K48,K89)</f>
        <v>0</v>
      </c>
      <c r="L102" s="221">
        <f>K102/((F11*G11)+(F18*G18)+(F26*G26)+(F33*G33)+(F40*G40)+(F49*G49)+(F53*G53)+(F57*G57)+(F61*G61)+(F65*G65)+(F69*G69)+(F73*G73)+(F77*G77)+(F81*G81)+(F85*G85)+(F90*G90)+(F97*G97))</f>
        <v>0</v>
      </c>
      <c r="N102" s="689"/>
    </row>
    <row r="103" spans="1:14" ht="14.65" customHeight="1" x14ac:dyDescent="0.35">
      <c r="A103" s="356"/>
      <c r="B103" s="690" t="s">
        <v>75</v>
      </c>
      <c r="C103" s="691"/>
      <c r="D103" s="691"/>
      <c r="E103" s="691"/>
      <c r="F103" s="220">
        <f>SUM(F10,F25,F32)</f>
        <v>30</v>
      </c>
      <c r="G103" s="220"/>
      <c r="H103" s="220"/>
      <c r="I103" s="220"/>
      <c r="J103" s="220"/>
      <c r="K103" s="220">
        <f>SUM(K10,K25,K32)</f>
        <v>0</v>
      </c>
      <c r="L103" s="221">
        <f>K103/((G11*F11)+(G18*F18)+(G26*F26)+(G33*F33))</f>
        <v>0</v>
      </c>
      <c r="N103" s="689"/>
    </row>
    <row r="104" spans="1:14" ht="18.5" x14ac:dyDescent="0.45">
      <c r="A104" s="356"/>
      <c r="B104" s="692"/>
      <c r="C104" s="692"/>
      <c r="D104" s="692"/>
      <c r="E104" s="692"/>
      <c r="F104" s="692"/>
      <c r="G104" s="692"/>
      <c r="H104" s="692"/>
      <c r="I104" s="692"/>
      <c r="N104" s="689"/>
    </row>
    <row r="105" spans="1:14" hidden="1" x14ac:dyDescent="0.35">
      <c r="A105" s="356"/>
      <c r="N105" s="689"/>
    </row>
    <row r="106" spans="1:14" ht="10.5" customHeight="1" x14ac:dyDescent="0.35">
      <c r="A106" s="356"/>
      <c r="B106" s="383"/>
      <c r="C106" s="383"/>
      <c r="D106" s="383"/>
      <c r="E106" s="383"/>
      <c r="F106" s="383"/>
      <c r="G106" s="383"/>
      <c r="H106" s="383"/>
      <c r="I106" s="383"/>
      <c r="J106" s="383"/>
      <c r="K106" s="383"/>
      <c r="L106" s="383"/>
      <c r="M106" s="1"/>
      <c r="N106" s="689"/>
    </row>
    <row r="107" spans="1:14" ht="23.5" x14ac:dyDescent="0.35">
      <c r="A107" s="356"/>
      <c r="B107" s="669" t="s">
        <v>76</v>
      </c>
      <c r="C107" s="670"/>
      <c r="D107" s="670"/>
      <c r="E107" s="670"/>
      <c r="F107" s="670"/>
      <c r="G107" s="670"/>
      <c r="H107" s="670"/>
      <c r="I107" s="670"/>
      <c r="J107" s="670"/>
      <c r="K107" s="670"/>
      <c r="L107" s="670"/>
      <c r="N107" s="689"/>
    </row>
    <row r="108" spans="1:14" ht="9.75" customHeight="1" x14ac:dyDescent="0.35">
      <c r="A108" s="356"/>
      <c r="B108" s="258"/>
      <c r="C108" s="258"/>
      <c r="D108" s="258"/>
      <c r="E108" s="258"/>
      <c r="F108" s="258"/>
      <c r="G108" s="258"/>
      <c r="H108" s="258"/>
      <c r="I108" s="258"/>
      <c r="J108" s="258"/>
      <c r="K108" s="258"/>
      <c r="L108" s="258"/>
      <c r="N108" s="689"/>
    </row>
    <row r="109" spans="1:14" ht="24.5" x14ac:dyDescent="0.5">
      <c r="A109" s="356"/>
      <c r="B109" s="296" t="s">
        <v>77</v>
      </c>
      <c r="C109" s="259"/>
      <c r="D109" s="256" t="s">
        <v>21</v>
      </c>
      <c r="E109" s="297"/>
      <c r="F109" s="286"/>
      <c r="G109" s="260"/>
      <c r="H109" s="260"/>
      <c r="I109" s="672" t="s">
        <v>396</v>
      </c>
      <c r="J109" s="673"/>
      <c r="K109" s="674"/>
      <c r="M109" s="286"/>
      <c r="N109" s="689"/>
    </row>
    <row r="110" spans="1:14" ht="21" customHeight="1" x14ac:dyDescent="0.45">
      <c r="A110" s="356"/>
      <c r="C110" s="260"/>
      <c r="D110" s="286"/>
      <c r="E110" s="261"/>
      <c r="F110" s="286"/>
      <c r="G110" s="260"/>
      <c r="H110" s="260"/>
      <c r="I110" s="675" t="s">
        <v>78</v>
      </c>
      <c r="J110" s="676"/>
      <c r="K110" s="677"/>
      <c r="L110" s="261"/>
      <c r="M110" s="286"/>
      <c r="N110" s="689"/>
    </row>
    <row r="111" spans="1:14" ht="21" customHeight="1" x14ac:dyDescent="0.45">
      <c r="A111" s="356"/>
      <c r="C111" s="260"/>
      <c r="D111" s="286"/>
      <c r="E111" s="261"/>
      <c r="F111" s="286"/>
      <c r="G111" s="260"/>
      <c r="H111" s="260"/>
      <c r="I111" s="682">
        <f>K115</f>
        <v>0</v>
      </c>
      <c r="J111" s="683"/>
      <c r="K111" s="684"/>
      <c r="L111" s="261"/>
      <c r="M111" s="286"/>
      <c r="N111" s="689"/>
    </row>
    <row r="112" spans="1:14" ht="24.5" hidden="1" x14ac:dyDescent="0.5">
      <c r="A112" s="356"/>
      <c r="B112" s="296" t="s">
        <v>79</v>
      </c>
      <c r="C112" s="262"/>
      <c r="D112" s="256" t="s">
        <v>21</v>
      </c>
      <c r="E112" s="297" t="s">
        <v>80</v>
      </c>
      <c r="F112" s="262"/>
      <c r="G112" s="263"/>
      <c r="H112" s="263"/>
      <c r="I112" s="678"/>
      <c r="J112" s="678"/>
      <c r="K112" s="678"/>
      <c r="L112" s="261"/>
      <c r="M112" s="286"/>
      <c r="N112" s="689"/>
    </row>
    <row r="113" spans="1:14" ht="31.4" customHeight="1" x14ac:dyDescent="0.35">
      <c r="A113" s="356"/>
      <c r="B113" s="264"/>
      <c r="C113" s="264"/>
      <c r="D113" s="265"/>
      <c r="E113" s="261"/>
      <c r="F113" s="264"/>
      <c r="G113" s="253"/>
      <c r="H113" s="253"/>
      <c r="I113" s="24"/>
      <c r="J113" s="24"/>
      <c r="K113" s="24"/>
      <c r="L113" s="261"/>
      <c r="M113" s="286"/>
      <c r="N113" s="689"/>
    </row>
    <row r="114" spans="1:14" ht="15.5" x14ac:dyDescent="0.35">
      <c r="A114" s="356"/>
      <c r="B114" s="264"/>
      <c r="C114" s="264"/>
      <c r="D114" s="265"/>
      <c r="E114" s="261"/>
      <c r="F114" s="264"/>
      <c r="G114" s="253"/>
      <c r="H114" s="253"/>
      <c r="I114" s="679" t="s">
        <v>81</v>
      </c>
      <c r="J114" s="680"/>
      <c r="K114" s="681"/>
      <c r="L114" s="261"/>
      <c r="M114" s="286"/>
      <c r="N114" s="689"/>
    </row>
    <row r="115" spans="1:14" ht="15.5" x14ac:dyDescent="0.35">
      <c r="A115" s="356"/>
      <c r="B115" s="264"/>
      <c r="C115" s="264"/>
      <c r="D115" s="265"/>
      <c r="E115" s="261"/>
      <c r="F115" s="264"/>
      <c r="G115" s="253"/>
      <c r="H115" s="253"/>
      <c r="I115" s="384" t="s">
        <v>397</v>
      </c>
      <c r="J115" s="385"/>
      <c r="K115" s="578">
        <f>IF(E112="forgivable loan",$K$120+$K$121,$K$120)</f>
        <v>0</v>
      </c>
      <c r="L115" s="261"/>
      <c r="M115" s="286"/>
      <c r="N115" s="689"/>
    </row>
    <row r="116" spans="1:14" ht="15.5" x14ac:dyDescent="0.35">
      <c r="A116" s="356"/>
      <c r="B116" s="264"/>
      <c r="C116" s="264"/>
      <c r="D116" s="265"/>
      <c r="E116" s="261"/>
      <c r="F116" s="264"/>
      <c r="G116" s="253"/>
      <c r="H116" s="253"/>
      <c r="I116" s="386" t="s">
        <v>82</v>
      </c>
      <c r="J116" s="387"/>
      <c r="K116" s="579">
        <f>IF(E112="Repayable loan",$K$120-$K$121,0)</f>
        <v>0</v>
      </c>
      <c r="L116" s="261"/>
      <c r="M116" s="286"/>
      <c r="N116" s="689"/>
    </row>
    <row r="117" spans="1:14" ht="15.5" x14ac:dyDescent="0.35">
      <c r="A117" s="356"/>
      <c r="B117" s="264"/>
      <c r="C117" s="264"/>
      <c r="D117" s="265"/>
      <c r="E117" s="261"/>
      <c r="F117" s="264"/>
      <c r="G117" s="253"/>
      <c r="H117" s="253"/>
      <c r="I117" s="388" t="s">
        <v>83</v>
      </c>
      <c r="J117" s="389"/>
      <c r="K117" s="580">
        <f>IF(E112="Repayable loan",$K$121,$K$120++$K$121)</f>
        <v>0</v>
      </c>
      <c r="L117" s="261"/>
      <c r="M117" s="286"/>
      <c r="N117" s="689"/>
    </row>
    <row r="118" spans="1:14" ht="15.5" x14ac:dyDescent="0.35">
      <c r="A118" s="356"/>
      <c r="B118" s="264"/>
      <c r="C118" s="264"/>
      <c r="D118" s="265"/>
      <c r="E118" s="261"/>
      <c r="F118" s="264"/>
      <c r="G118" s="253"/>
      <c r="H118" s="253"/>
      <c r="I118" s="24"/>
      <c r="J118" s="24"/>
      <c r="K118" s="24"/>
      <c r="L118" s="261"/>
      <c r="M118" s="286"/>
      <c r="N118" s="689"/>
    </row>
    <row r="119" spans="1:14" ht="15.5" x14ac:dyDescent="0.35">
      <c r="A119" s="356"/>
      <c r="B119" s="264"/>
      <c r="C119" s="264"/>
      <c r="D119" s="265"/>
      <c r="E119" s="261"/>
      <c r="F119" s="264"/>
      <c r="G119" s="253"/>
      <c r="H119" s="253"/>
      <c r="I119" s="685" t="s">
        <v>403</v>
      </c>
      <c r="J119" s="686"/>
      <c r="K119" s="687"/>
      <c r="L119" s="261"/>
      <c r="M119" s="286"/>
      <c r="N119" s="689"/>
    </row>
    <row r="120" spans="1:14" ht="15.5" x14ac:dyDescent="0.35">
      <c r="A120" s="356"/>
      <c r="B120" s="264"/>
      <c r="C120" s="264"/>
      <c r="D120" s="265"/>
      <c r="E120" s="261"/>
      <c r="F120" s="264"/>
      <c r="G120" s="253"/>
      <c r="H120" s="253"/>
      <c r="I120" s="390" t="s">
        <v>84</v>
      </c>
      <c r="J120" s="391"/>
      <c r="K120" s="572">
        <f>IF(AND(E109=B138,E112=C138),E143,IF(AND(E109=B139,E112=C138),F143,IF(AND(E109=B140,E112=C138),G143,IF(AND(E109=B138,E112=C139,L102&gt;0%,L102&lt;25%),E149,IF(AND(E109=B138,E112=C139,L102&gt;24%,L102&lt;75%),E150,IF(AND(E109=$B138,E112=C139,L102&gt;74%),E151,IF(AND(E109=B139,E112=C139,L102&gt;0%,L102&lt;25%),F149,IF(AND(E109=B139,E112=C139,L102&gt;24%,L102&lt;75%),F150,IF(AND(E109=$B139,E112=C139,L102&gt;74%),F151,IF(AND(E109=B140,E112=C139,L102&gt;0%,L102&lt;25%),G149,IF(AND(E109=B140,E112=C139,L102&gt;24%,L102&lt;75%),G150,IF(AND(E109=$B140,E112=C139,L102&gt;74%),G151,0))))))))))))</f>
        <v>0</v>
      </c>
      <c r="L120" s="261"/>
      <c r="M120" s="286"/>
      <c r="N120" s="689"/>
    </row>
    <row r="121" spans="1:14" ht="15.5" x14ac:dyDescent="0.35">
      <c r="A121" s="356"/>
      <c r="B121" s="264"/>
      <c r="C121" s="264"/>
      <c r="D121" s="265"/>
      <c r="E121" s="261"/>
      <c r="F121" s="264"/>
      <c r="G121" s="253"/>
      <c r="H121" s="253"/>
      <c r="I121" s="392" t="str">
        <f>IF($E$113="Forgivable loan", "Additional Forgivable Loan for Higher Performance", " % Forgivable Loan for Higher Performance ")</f>
        <v xml:space="preserve"> % Forgivable Loan for Higher Performance </v>
      </c>
      <c r="J121" s="24"/>
      <c r="K121" s="573">
        <f>IF(AND(E109=B138,L103&gt;0%,L103&lt;30%),E155,IF(AND(E109=B138,L103&gt;29%,L103&lt;60%),E156,IF(AND(E109=$B138,L103&gt;59%,L103&lt;90%),E157,IF(AND(E109=B138,L103&gt;89%),E158,IF(AND(E109=B139,L103&gt;0%,L103&lt;30%),F155,IF(AND(E109=B139,L103&gt;29%,L103&lt;60%),F156,IF(AND(E109=$B139,L103&gt;59%,L103&lt;90%),F157,IF(AND(E109=B139,L103&gt;89%),F158,IF(AND(E109=B140,L103&gt;0%,L103&lt;30%),G155,IF(AND(E109=B140,L103&gt;29%,L103&lt;60%),G156,IF(AND(E109=$B140,L103&gt;59%,L103&lt;90%),G157,IF(AND(E109=B140,L103&gt;89%),G158,0))))))))))))</f>
        <v>0</v>
      </c>
      <c r="L121" s="261"/>
      <c r="M121" s="286"/>
      <c r="N121" s="689"/>
    </row>
    <row r="122" spans="1:14" ht="15.5" x14ac:dyDescent="0.35">
      <c r="A122" s="356"/>
      <c r="B122" s="264"/>
      <c r="C122" s="264"/>
      <c r="D122" s="265"/>
      <c r="E122" s="261"/>
      <c r="F122" s="264"/>
      <c r="G122" s="253"/>
      <c r="H122" s="253"/>
      <c r="I122" s="393" t="s">
        <v>85</v>
      </c>
      <c r="J122" s="394"/>
      <c r="K122" s="574"/>
      <c r="L122" s="261"/>
      <c r="M122" s="286"/>
      <c r="N122" s="689"/>
    </row>
    <row r="123" spans="1:14" ht="15.5" x14ac:dyDescent="0.35">
      <c r="A123" s="356"/>
      <c r="B123" s="264"/>
      <c r="C123" s="264"/>
      <c r="D123" s="265"/>
      <c r="E123" s="261"/>
      <c r="F123" s="264"/>
      <c r="G123" s="253"/>
      <c r="H123" s="253"/>
      <c r="I123" s="382"/>
      <c r="J123" s="252"/>
      <c r="K123" s="261"/>
      <c r="L123" s="261"/>
      <c r="M123" s="286"/>
      <c r="N123" s="689"/>
    </row>
    <row r="124" spans="1:14" ht="15.5" hidden="1" x14ac:dyDescent="0.35">
      <c r="A124" s="356"/>
      <c r="B124" s="264"/>
      <c r="C124" s="264"/>
      <c r="D124" s="265"/>
      <c r="E124" s="261"/>
      <c r="F124" s="264"/>
      <c r="G124" s="253"/>
      <c r="H124" s="253"/>
      <c r="I124" s="382"/>
      <c r="J124" s="252"/>
      <c r="K124" s="261"/>
      <c r="L124" s="261"/>
      <c r="M124" s="286"/>
      <c r="N124" s="689"/>
    </row>
    <row r="125" spans="1:14" ht="15.5" hidden="1" x14ac:dyDescent="0.35">
      <c r="A125" s="356"/>
      <c r="B125" s="264"/>
      <c r="C125" s="264"/>
      <c r="D125" s="265"/>
      <c r="E125" s="261"/>
      <c r="F125" s="264"/>
      <c r="G125" s="253"/>
      <c r="H125" s="253"/>
      <c r="I125" s="382"/>
      <c r="J125" s="252"/>
      <c r="K125" s="261"/>
      <c r="L125" s="261"/>
      <c r="M125" s="286"/>
      <c r="N125" s="689"/>
    </row>
    <row r="126" spans="1:14" ht="14.65" hidden="1" customHeight="1" x14ac:dyDescent="0.35">
      <c r="A126" s="356"/>
      <c r="B126" s="671"/>
      <c r="C126" s="671"/>
      <c r="D126" s="671"/>
      <c r="E126" s="671"/>
      <c r="F126" s="671"/>
      <c r="G126" s="671"/>
      <c r="H126" s="671"/>
      <c r="I126" s="671"/>
      <c r="J126" s="671"/>
      <c r="K126" s="671"/>
      <c r="L126" s="671"/>
      <c r="M126" s="671"/>
      <c r="N126" s="689"/>
    </row>
    <row r="127" spans="1:14" ht="14.65" hidden="1" customHeight="1" x14ac:dyDescent="0.35">
      <c r="A127" s="356"/>
      <c r="B127" s="671"/>
      <c r="C127" s="671"/>
      <c r="D127" s="671"/>
      <c r="E127" s="671"/>
      <c r="F127" s="671"/>
      <c r="G127" s="671"/>
      <c r="H127" s="671"/>
      <c r="I127" s="671"/>
      <c r="J127" s="671"/>
      <c r="K127" s="671"/>
      <c r="L127" s="671"/>
      <c r="M127" s="671"/>
      <c r="N127" s="689"/>
    </row>
    <row r="128" spans="1:14" ht="9.75" hidden="1" customHeight="1" x14ac:dyDescent="0.35">
      <c r="A128" s="356"/>
      <c r="B128" s="264"/>
      <c r="C128" s="264"/>
      <c r="D128" s="265"/>
      <c r="E128" s="264"/>
      <c r="F128" s="264"/>
      <c r="G128" s="263"/>
      <c r="H128" s="263"/>
      <c r="I128" s="264"/>
      <c r="J128" s="266"/>
      <c r="L128" s="286"/>
      <c r="M128" s="286"/>
      <c r="N128" s="689"/>
    </row>
    <row r="129" spans="1:17" ht="23.5" customHeight="1" x14ac:dyDescent="0.35">
      <c r="A129" s="356"/>
      <c r="B129" s="96"/>
      <c r="C129" s="96"/>
      <c r="D129" s="96"/>
      <c r="E129" s="96"/>
      <c r="F129" s="96"/>
      <c r="G129" s="96"/>
      <c r="H129" s="96"/>
      <c r="I129" s="96"/>
      <c r="J129" s="96"/>
      <c r="K129" s="96"/>
      <c r="L129" s="96"/>
      <c r="M129" s="96"/>
      <c r="N129" s="689"/>
    </row>
    <row r="130" spans="1:17" hidden="1" x14ac:dyDescent="0.35"/>
    <row r="131" spans="1:17" hidden="1" x14ac:dyDescent="0.35"/>
    <row r="132" spans="1:17" s="214" customFormat="1" hidden="1" x14ac:dyDescent="0.35">
      <c r="A132" s="42"/>
      <c r="B132" s="42"/>
      <c r="C132" s="42"/>
      <c r="D132" s="42"/>
      <c r="J132" s="24"/>
      <c r="K132" s="24"/>
      <c r="L132" s="24"/>
      <c r="M132" s="24"/>
      <c r="Q132" s="215"/>
    </row>
    <row r="133" spans="1:17" s="214" customFormat="1" hidden="1" x14ac:dyDescent="0.35">
      <c r="A133" s="42"/>
      <c r="B133" s="42"/>
      <c r="C133" s="42"/>
      <c r="D133" s="42"/>
      <c r="J133" s="24"/>
      <c r="K133" s="24"/>
      <c r="L133" s="24"/>
      <c r="M133" s="24"/>
      <c r="Q133" s="215"/>
    </row>
    <row r="134" spans="1:17" s="214" customFormat="1" hidden="1" x14ac:dyDescent="0.35">
      <c r="J134" s="24"/>
      <c r="K134" s="24"/>
      <c r="L134" s="24"/>
      <c r="M134" s="24"/>
      <c r="Q134" s="215"/>
    </row>
    <row r="135" spans="1:17" s="214" customFormat="1" hidden="1" x14ac:dyDescent="0.35">
      <c r="J135" s="24"/>
      <c r="K135" s="24"/>
      <c r="L135" s="24"/>
      <c r="M135" s="24"/>
      <c r="Q135" s="215"/>
    </row>
    <row r="136" spans="1:17" s="214" customFormat="1" hidden="1" x14ac:dyDescent="0.35">
      <c r="A136" s="46"/>
      <c r="B136" s="46"/>
      <c r="C136" s="46"/>
      <c r="D136" s="46"/>
      <c r="J136" s="24"/>
      <c r="K136" s="24"/>
      <c r="L136" s="24"/>
      <c r="M136" s="24"/>
      <c r="Q136" s="215"/>
    </row>
    <row r="137" spans="1:17" s="214" customFormat="1" hidden="1" x14ac:dyDescent="0.35">
      <c r="A137" s="46"/>
      <c r="B137" s="46"/>
      <c r="C137" s="46"/>
      <c r="D137" s="46"/>
      <c r="J137" s="24"/>
      <c r="K137" s="24"/>
      <c r="L137" s="24"/>
      <c r="M137" s="24"/>
      <c r="Q137" s="215"/>
    </row>
    <row r="138" spans="1:17" ht="14.65" hidden="1" customHeight="1" x14ac:dyDescent="0.35">
      <c r="B138" t="s">
        <v>86</v>
      </c>
      <c r="C138" t="s">
        <v>80</v>
      </c>
      <c r="E138" t="s">
        <v>53</v>
      </c>
    </row>
    <row r="139" spans="1:17" ht="14.65" hidden="1" customHeight="1" x14ac:dyDescent="0.35">
      <c r="B139" t="s">
        <v>87</v>
      </c>
      <c r="C139" t="s">
        <v>88</v>
      </c>
      <c r="E139" t="s">
        <v>54</v>
      </c>
    </row>
    <row r="140" spans="1:17" ht="14.65" hidden="1" customHeight="1" thickBot="1" x14ac:dyDescent="0.4">
      <c r="B140" t="s">
        <v>89</v>
      </c>
      <c r="C140" s="286"/>
      <c r="G140" s="23"/>
    </row>
    <row r="141" spans="1:17" ht="15.75" hidden="1" customHeight="1" thickBot="1" x14ac:dyDescent="0.4">
      <c r="B141" s="286"/>
      <c r="C141" s="286"/>
      <c r="D141" s="657" t="s">
        <v>90</v>
      </c>
      <c r="E141" s="658"/>
      <c r="F141" s="658"/>
      <c r="G141" s="659"/>
    </row>
    <row r="142" spans="1:17" ht="58.15" hidden="1" customHeight="1" thickBot="1" x14ac:dyDescent="0.4">
      <c r="B142" t="s">
        <v>91</v>
      </c>
      <c r="C142" s="286"/>
      <c r="D142" s="287" t="s">
        <v>92</v>
      </c>
      <c r="E142" s="288" t="s">
        <v>86</v>
      </c>
      <c r="F142" s="288" t="s">
        <v>87</v>
      </c>
      <c r="G142" s="288" t="s">
        <v>89</v>
      </c>
    </row>
    <row r="143" spans="1:17" ht="29.15" hidden="1" customHeight="1" thickBot="1" x14ac:dyDescent="0.4">
      <c r="B143" s="286"/>
      <c r="C143" s="286"/>
      <c r="D143" s="289"/>
      <c r="E143" s="290">
        <v>0.95</v>
      </c>
      <c r="F143" s="290">
        <v>0.75</v>
      </c>
      <c r="G143" s="290">
        <v>0.75</v>
      </c>
    </row>
    <row r="144" spans="1:17" ht="29.15" hidden="1" customHeight="1" thickBot="1" x14ac:dyDescent="0.4">
      <c r="B144" s="286"/>
      <c r="C144" s="286"/>
      <c r="D144" s="289"/>
      <c r="E144" s="290"/>
      <c r="F144" s="290"/>
      <c r="G144" s="290"/>
    </row>
    <row r="145" spans="2:7" ht="29.15" hidden="1" customHeight="1" thickBot="1" x14ac:dyDescent="0.4">
      <c r="B145" s="286"/>
      <c r="C145" s="286"/>
      <c r="D145" s="289"/>
      <c r="E145" s="290"/>
      <c r="F145" s="290"/>
      <c r="G145" s="290"/>
    </row>
    <row r="146" spans="2:7" ht="14.65" hidden="1" customHeight="1" thickBot="1" x14ac:dyDescent="0.4">
      <c r="B146" s="286"/>
      <c r="C146" s="286"/>
      <c r="D146" s="23"/>
      <c r="E146" s="23"/>
      <c r="F146" s="23"/>
      <c r="G146" s="23"/>
    </row>
    <row r="147" spans="2:7" ht="15.75" hidden="1" customHeight="1" thickBot="1" x14ac:dyDescent="0.4">
      <c r="B147" s="286"/>
      <c r="C147" s="286"/>
      <c r="D147" s="657" t="s">
        <v>93</v>
      </c>
      <c r="E147" s="658"/>
      <c r="F147" s="658"/>
      <c r="G147" s="659"/>
    </row>
    <row r="148" spans="2:7" ht="61.5" hidden="1" customHeight="1" thickBot="1" x14ac:dyDescent="0.4">
      <c r="B148" s="286"/>
      <c r="C148" s="286"/>
      <c r="D148" s="289" t="s">
        <v>92</v>
      </c>
      <c r="E148" s="288" t="s">
        <v>86</v>
      </c>
      <c r="F148" s="288" t="s">
        <v>87</v>
      </c>
      <c r="G148" s="288" t="s">
        <v>89</v>
      </c>
    </row>
    <row r="149" spans="2:7" ht="14.9" hidden="1" customHeight="1" thickBot="1" x14ac:dyDescent="0.4">
      <c r="B149" s="286"/>
      <c r="C149" s="286"/>
      <c r="D149" s="289" t="s">
        <v>94</v>
      </c>
      <c r="E149" s="290">
        <v>0.2</v>
      </c>
      <c r="F149" s="290">
        <v>0.15</v>
      </c>
      <c r="G149" s="290">
        <v>0.05</v>
      </c>
    </row>
    <row r="150" spans="2:7" ht="29.15" hidden="1" customHeight="1" thickBot="1" x14ac:dyDescent="0.4">
      <c r="B150" s="286"/>
      <c r="C150" s="286"/>
      <c r="D150" s="289" t="s">
        <v>95</v>
      </c>
      <c r="E150" s="290">
        <v>0.25</v>
      </c>
      <c r="F150" s="290">
        <v>0.2</v>
      </c>
      <c r="G150" s="291">
        <v>7.4999999999999997E-2</v>
      </c>
    </row>
    <row r="151" spans="2:7" ht="29.15" hidden="1" customHeight="1" thickBot="1" x14ac:dyDescent="0.4">
      <c r="B151" s="286"/>
      <c r="C151" s="286"/>
      <c r="D151" s="289" t="s">
        <v>96</v>
      </c>
      <c r="E151" s="290">
        <v>0.3</v>
      </c>
      <c r="F151" s="290">
        <v>0.25</v>
      </c>
      <c r="G151" s="290">
        <v>0.1</v>
      </c>
    </row>
    <row r="152" spans="2:7" ht="14.65" hidden="1" customHeight="1" thickBot="1" x14ac:dyDescent="0.4">
      <c r="B152" s="286"/>
      <c r="C152" s="286"/>
      <c r="D152" s="23"/>
      <c r="E152" s="23"/>
      <c r="F152" s="23"/>
      <c r="G152" s="23"/>
    </row>
    <row r="153" spans="2:7" ht="15.75" hidden="1" customHeight="1" thickBot="1" x14ac:dyDescent="0.4">
      <c r="B153" s="286"/>
      <c r="C153" s="286"/>
      <c r="D153" s="657" t="s">
        <v>97</v>
      </c>
      <c r="E153" s="658"/>
      <c r="F153" s="658"/>
      <c r="G153" s="659"/>
    </row>
    <row r="154" spans="2:7" ht="43.5" hidden="1" customHeight="1" thickBot="1" x14ac:dyDescent="0.4">
      <c r="B154" s="286"/>
      <c r="C154" s="286"/>
      <c r="D154" s="289" t="s">
        <v>98</v>
      </c>
      <c r="E154" s="288" t="s">
        <v>86</v>
      </c>
      <c r="F154" s="288" t="s">
        <v>87</v>
      </c>
      <c r="G154" s="288" t="s">
        <v>89</v>
      </c>
    </row>
    <row r="155" spans="2:7" ht="14.9" hidden="1" customHeight="1" thickBot="1" x14ac:dyDescent="0.4">
      <c r="B155" s="286"/>
      <c r="C155" s="286"/>
      <c r="D155" s="289" t="s">
        <v>99</v>
      </c>
      <c r="E155" s="292">
        <v>0</v>
      </c>
      <c r="F155" s="292">
        <v>0</v>
      </c>
      <c r="G155" s="292">
        <v>0</v>
      </c>
    </row>
    <row r="156" spans="2:7" ht="14.9" hidden="1" customHeight="1" thickBot="1" x14ac:dyDescent="0.4">
      <c r="B156" s="286"/>
      <c r="C156" s="286"/>
      <c r="D156" s="289" t="s">
        <v>100</v>
      </c>
      <c r="E156" s="291">
        <v>2.5000000000000001E-2</v>
      </c>
      <c r="F156" s="290">
        <v>0.02</v>
      </c>
      <c r="G156" s="290">
        <v>0.02</v>
      </c>
    </row>
    <row r="157" spans="2:7" ht="14.9" hidden="1" customHeight="1" thickBot="1" x14ac:dyDescent="0.4">
      <c r="B157" s="286"/>
      <c r="C157" s="286"/>
      <c r="D157" s="289" t="s">
        <v>101</v>
      </c>
      <c r="E157" s="290">
        <v>0.05</v>
      </c>
      <c r="F157" s="291">
        <v>3.5000000000000003E-2</v>
      </c>
      <c r="G157" s="291">
        <v>3.5000000000000003E-2</v>
      </c>
    </row>
    <row r="158" spans="2:7" ht="29.15" hidden="1" customHeight="1" thickBot="1" x14ac:dyDescent="0.4">
      <c r="B158" s="286"/>
      <c r="C158" s="286"/>
      <c r="D158" s="289" t="s">
        <v>102</v>
      </c>
      <c r="E158" s="290">
        <v>0.1</v>
      </c>
      <c r="F158" s="290">
        <v>0.05</v>
      </c>
      <c r="G158" s="290">
        <v>0.05</v>
      </c>
    </row>
    <row r="159" spans="2:7" ht="14.65" hidden="1" customHeight="1" x14ac:dyDescent="0.35">
      <c r="B159" s="286"/>
      <c r="C159" s="286"/>
      <c r="G159" s="23"/>
    </row>
    <row r="160" spans="2:7" hidden="1" x14ac:dyDescent="0.35">
      <c r="B160" s="286"/>
      <c r="C160" s="286"/>
      <c r="G160" s="23"/>
    </row>
    <row r="161" spans="2:7" hidden="1" x14ac:dyDescent="0.35">
      <c r="B161" s="286"/>
      <c r="C161" s="286"/>
      <c r="G161" s="23"/>
    </row>
    <row r="162" spans="2:7" hidden="1" x14ac:dyDescent="0.35">
      <c r="B162" s="286"/>
      <c r="C162" s="286"/>
      <c r="G162" s="23"/>
    </row>
    <row r="163" spans="2:7" ht="14.65" hidden="1" customHeight="1" x14ac:dyDescent="0.35">
      <c r="B163" s="286"/>
      <c r="C163" s="286"/>
      <c r="G163" s="23"/>
    </row>
    <row r="164" spans="2:7" ht="14.65" hidden="1" customHeight="1" x14ac:dyDescent="0.35">
      <c r="B164" s="286"/>
      <c r="C164" s="286"/>
      <c r="G164" s="23"/>
    </row>
    <row r="165" spans="2:7" ht="14.65" hidden="1" customHeight="1" thickBot="1" x14ac:dyDescent="0.4">
      <c r="B165" s="286"/>
      <c r="C165" s="286"/>
      <c r="D165" s="293" t="s">
        <v>103</v>
      </c>
      <c r="G165" s="23"/>
    </row>
    <row r="166" spans="2:7" ht="14.9" hidden="1" customHeight="1" thickBot="1" x14ac:dyDescent="0.4">
      <c r="B166" s="286"/>
      <c r="C166" s="286"/>
      <c r="D166" s="654" t="s">
        <v>104</v>
      </c>
      <c r="E166" s="294" t="s">
        <v>86</v>
      </c>
      <c r="F166" s="294" t="s">
        <v>105</v>
      </c>
      <c r="G166" s="23"/>
    </row>
    <row r="167" spans="2:7" ht="14.9" hidden="1" customHeight="1" thickBot="1" x14ac:dyDescent="0.4">
      <c r="B167" s="286"/>
      <c r="C167" s="286"/>
      <c r="D167" s="655"/>
      <c r="E167" s="294" t="s">
        <v>87</v>
      </c>
      <c r="F167" s="295" t="s">
        <v>106</v>
      </c>
      <c r="G167" s="23"/>
    </row>
    <row r="168" spans="2:7" ht="14.9" hidden="1" customHeight="1" thickBot="1" x14ac:dyDescent="0.4">
      <c r="B168" s="286"/>
      <c r="C168" s="286"/>
      <c r="D168" s="656"/>
      <c r="E168" s="294" t="s">
        <v>89</v>
      </c>
      <c r="F168" s="295" t="s">
        <v>107</v>
      </c>
      <c r="G168" s="23"/>
    </row>
    <row r="169" spans="2:7" ht="14.65" hidden="1" customHeight="1" x14ac:dyDescent="0.35"/>
    <row r="170" spans="2:7" ht="14.65" hidden="1" customHeight="1" x14ac:dyDescent="0.35"/>
    <row r="171" spans="2:7" hidden="1" x14ac:dyDescent="0.35"/>
    <row r="172" spans="2:7" hidden="1" x14ac:dyDescent="0.35"/>
    <row r="173" spans="2:7" hidden="1" x14ac:dyDescent="0.35"/>
    <row r="174" spans="2:7" hidden="1" x14ac:dyDescent="0.35"/>
    <row r="175" spans="2:7" hidden="1" x14ac:dyDescent="0.35"/>
    <row r="176" spans="2:7" hidden="1" x14ac:dyDescent="0.35"/>
    <row r="177" spans="1:17" hidden="1" x14ac:dyDescent="0.35"/>
    <row r="178" spans="1:17" s="214" customFormat="1" hidden="1" x14ac:dyDescent="0.35">
      <c r="A178" s="42"/>
      <c r="B178" s="42"/>
      <c r="C178" s="42"/>
      <c r="D178" s="42"/>
      <c r="J178" s="24"/>
      <c r="K178" s="24"/>
      <c r="L178" s="24"/>
      <c r="M178" s="24"/>
      <c r="Q178" s="215"/>
    </row>
    <row r="179" spans="1:17" s="214" customFormat="1" hidden="1" x14ac:dyDescent="0.35">
      <c r="A179" s="42"/>
      <c r="B179" s="42"/>
      <c r="C179" s="42"/>
      <c r="D179" s="42"/>
      <c r="J179" s="24"/>
      <c r="K179" s="24"/>
      <c r="L179" s="24"/>
      <c r="M179" s="24"/>
      <c r="Q179" s="215"/>
    </row>
    <row r="180" spans="1:17" s="214" customFormat="1" hidden="1" x14ac:dyDescent="0.35">
      <c r="J180" s="24"/>
      <c r="K180" s="24"/>
      <c r="L180" s="24"/>
      <c r="M180" s="24"/>
      <c r="Q180" s="215"/>
    </row>
    <row r="181" spans="1:17" s="214" customFormat="1" hidden="1" x14ac:dyDescent="0.35">
      <c r="J181" s="24"/>
      <c r="K181" s="24"/>
      <c r="L181" s="24"/>
      <c r="M181" s="24"/>
      <c r="Q181" s="215"/>
    </row>
    <row r="182" spans="1:17" s="214" customFormat="1" hidden="1" x14ac:dyDescent="0.35">
      <c r="A182" s="46"/>
      <c r="B182" s="46"/>
      <c r="C182" s="46"/>
      <c r="D182" s="46"/>
      <c r="J182" s="24"/>
      <c r="K182" s="24"/>
      <c r="L182" s="24"/>
      <c r="M182" s="24"/>
      <c r="Q182" s="215"/>
    </row>
    <row r="183" spans="1:17" s="214" customFormat="1" hidden="1" x14ac:dyDescent="0.35">
      <c r="A183" s="46"/>
      <c r="B183" s="46"/>
      <c r="C183" s="46"/>
      <c r="D183" s="46"/>
      <c r="J183" s="24"/>
      <c r="K183" s="24"/>
      <c r="L183" s="24"/>
      <c r="M183" s="24"/>
      <c r="Q183" s="215"/>
    </row>
    <row r="184" spans="1:17" hidden="1" x14ac:dyDescent="0.35"/>
    <row r="186" spans="1:17" ht="26" x14ac:dyDescent="0.6">
      <c r="B186" s="395" t="s">
        <v>108</v>
      </c>
      <c r="C186" s="24"/>
      <c r="D186" s="24"/>
      <c r="E186" s="24"/>
      <c r="F186" s="24"/>
      <c r="G186" s="24"/>
      <c r="H186" s="24"/>
      <c r="I186" s="24"/>
      <c r="J186" s="24"/>
      <c r="K186" s="24"/>
      <c r="L186" s="24"/>
    </row>
    <row r="187" spans="1:17" ht="18.5" x14ac:dyDescent="0.45">
      <c r="B187" s="648" t="s">
        <v>404</v>
      </c>
      <c r="C187" s="649"/>
      <c r="D187" s="649"/>
      <c r="E187" s="649"/>
      <c r="F187" s="649"/>
      <c r="G187" s="649"/>
      <c r="H187" s="649"/>
      <c r="I187" s="649"/>
      <c r="J187" s="649"/>
      <c r="K187" s="649"/>
      <c r="L187" s="650"/>
    </row>
    <row r="188" spans="1:17" ht="18.5" x14ac:dyDescent="0.45">
      <c r="B188" s="396" t="s">
        <v>109</v>
      </c>
      <c r="C188" s="397"/>
      <c r="D188" s="397"/>
      <c r="E188" s="397"/>
      <c r="F188" s="397"/>
      <c r="G188" s="398"/>
      <c r="H188" s="398"/>
      <c r="I188" s="398"/>
      <c r="J188" s="398"/>
      <c r="K188" s="398"/>
      <c r="L188" s="399"/>
    </row>
    <row r="189" spans="1:17" ht="18.5" x14ac:dyDescent="0.45">
      <c r="B189" s="396" t="s">
        <v>110</v>
      </c>
      <c r="C189" s="397"/>
      <c r="D189" s="397"/>
      <c r="E189" s="397"/>
      <c r="F189" s="397"/>
      <c r="G189" s="398"/>
      <c r="H189" s="398"/>
      <c r="I189" s="398"/>
      <c r="J189" s="398"/>
      <c r="K189" s="398"/>
      <c r="L189" s="399"/>
    </row>
    <row r="190" spans="1:17" ht="18.5" x14ac:dyDescent="0.45">
      <c r="B190" s="396" t="s">
        <v>111</v>
      </c>
      <c r="C190" s="397"/>
      <c r="D190" s="397"/>
      <c r="E190" s="397"/>
      <c r="F190" s="397"/>
      <c r="G190" s="398"/>
      <c r="H190" s="398"/>
      <c r="I190" s="398"/>
      <c r="J190" s="398"/>
      <c r="K190" s="398"/>
      <c r="L190" s="399"/>
    </row>
    <row r="191" spans="1:17" ht="18.5" x14ac:dyDescent="0.45">
      <c r="B191" s="396" t="s">
        <v>112</v>
      </c>
      <c r="C191" s="397"/>
      <c r="D191" s="397"/>
      <c r="E191" s="397"/>
      <c r="F191" s="397"/>
      <c r="G191" s="398"/>
      <c r="H191" s="398"/>
      <c r="I191" s="398"/>
      <c r="J191" s="398"/>
      <c r="K191" s="398"/>
      <c r="L191" s="399"/>
    </row>
    <row r="192" spans="1:17" ht="18.5" x14ac:dyDescent="0.45">
      <c r="B192" s="400" t="s">
        <v>405</v>
      </c>
      <c r="C192" s="397"/>
      <c r="D192" s="397"/>
      <c r="E192" s="397"/>
      <c r="F192" s="397"/>
      <c r="G192" s="398"/>
      <c r="H192" s="398"/>
      <c r="I192" s="398"/>
      <c r="J192" s="398"/>
      <c r="K192" s="398"/>
      <c r="L192" s="399"/>
    </row>
    <row r="193" spans="2:12" ht="18.5" x14ac:dyDescent="0.45">
      <c r="B193" s="401" t="s">
        <v>113</v>
      </c>
      <c r="C193" s="398"/>
      <c r="D193" s="398"/>
      <c r="E193" s="398"/>
      <c r="F193" s="398"/>
      <c r="G193" s="398"/>
      <c r="H193" s="398"/>
      <c r="I193" s="398"/>
      <c r="J193" s="397"/>
      <c r="K193" s="397"/>
      <c r="L193" s="399"/>
    </row>
    <row r="194" spans="2:12" ht="18.5" x14ac:dyDescent="0.45">
      <c r="B194" s="402" t="s">
        <v>114</v>
      </c>
      <c r="C194" s="403"/>
      <c r="D194" s="403"/>
      <c r="E194" s="403"/>
      <c r="F194" s="398"/>
      <c r="G194" s="398"/>
      <c r="H194" s="398"/>
      <c r="I194" s="398"/>
      <c r="J194" s="397"/>
      <c r="K194" s="397"/>
      <c r="L194" s="399"/>
    </row>
    <row r="195" spans="2:12" ht="18.5" x14ac:dyDescent="0.45">
      <c r="B195" s="402" t="s">
        <v>115</v>
      </c>
      <c r="C195" s="403"/>
      <c r="D195" s="403"/>
      <c r="E195" s="403"/>
      <c r="F195" s="398"/>
      <c r="G195" s="398"/>
      <c r="H195" s="398"/>
      <c r="I195" s="398"/>
      <c r="J195" s="397"/>
      <c r="K195" s="397"/>
      <c r="L195" s="399"/>
    </row>
    <row r="196" spans="2:12" ht="38.5" customHeight="1" x14ac:dyDescent="0.35">
      <c r="B196" s="651" t="s">
        <v>116</v>
      </c>
      <c r="C196" s="652"/>
      <c r="D196" s="652"/>
      <c r="E196" s="652"/>
      <c r="F196" s="652"/>
      <c r="G196" s="652"/>
      <c r="H196" s="652"/>
      <c r="I196" s="652"/>
      <c r="J196" s="652"/>
      <c r="K196" s="652"/>
      <c r="L196" s="653"/>
    </row>
    <row r="197" spans="2:12" ht="18.5" x14ac:dyDescent="0.45">
      <c r="B197" s="397"/>
      <c r="C197" s="397"/>
      <c r="D197" s="397"/>
      <c r="E197" s="397"/>
      <c r="F197" s="397"/>
      <c r="G197" s="397"/>
      <c r="H197" s="397"/>
      <c r="I197" s="397"/>
      <c r="J197" s="397"/>
      <c r="K197" s="397"/>
      <c r="L197" s="397"/>
    </row>
  </sheetData>
  <sheetProtection algorithmName="SHA-512" hashValue="WOqawb8LTNr24L5rj7qZJ1K11Nb2Djiqiaabpyo+RKX+Lw9ueatozTyIJ4CH9O7K9llGdRTXyf/87Uy5bd1XtA==" saltValue="2dvAA/fhM7aN+J2jC562bw==" spinCount="100000" sheet="1" objects="1" scenarios="1"/>
  <mergeCells count="40">
    <mergeCell ref="A2:N2"/>
    <mergeCell ref="N3:N129"/>
    <mergeCell ref="B11:E11"/>
    <mergeCell ref="B18:E18"/>
    <mergeCell ref="B26:E26"/>
    <mergeCell ref="B33:E33"/>
    <mergeCell ref="B40:E40"/>
    <mergeCell ref="B49:E49"/>
    <mergeCell ref="B53:E53"/>
    <mergeCell ref="B57:E57"/>
    <mergeCell ref="B61:E61"/>
    <mergeCell ref="B65:E65"/>
    <mergeCell ref="B69:E69"/>
    <mergeCell ref="B73:E73"/>
    <mergeCell ref="B103:E103"/>
    <mergeCell ref="B104:I104"/>
    <mergeCell ref="B107:L107"/>
    <mergeCell ref="B126:M127"/>
    <mergeCell ref="D141:G141"/>
    <mergeCell ref="I109:K109"/>
    <mergeCell ref="I110:K110"/>
    <mergeCell ref="I112:K112"/>
    <mergeCell ref="I114:K114"/>
    <mergeCell ref="I111:K111"/>
    <mergeCell ref="I119:K119"/>
    <mergeCell ref="B10:I10"/>
    <mergeCell ref="B25:E25"/>
    <mergeCell ref="B32:E32"/>
    <mergeCell ref="B89:E89"/>
    <mergeCell ref="B102:E102"/>
    <mergeCell ref="B81:E81"/>
    <mergeCell ref="B85:E85"/>
    <mergeCell ref="B90:E90"/>
    <mergeCell ref="B97:E97"/>
    <mergeCell ref="B77:E77"/>
    <mergeCell ref="B187:L187"/>
    <mergeCell ref="B196:L196"/>
    <mergeCell ref="D166:D168"/>
    <mergeCell ref="D147:G147"/>
    <mergeCell ref="D153:G153"/>
  </mergeCells>
  <dataValidations count="11">
    <dataValidation type="list" allowBlank="1" showInputMessage="1" showErrorMessage="1" sqref="I33" xr:uid="{00000000-0002-0000-0100-000000000000}">
      <formula1>$C$34:$C$37</formula1>
    </dataValidation>
    <dataValidation type="list" allowBlank="1" showInputMessage="1" showErrorMessage="1" sqref="I90" xr:uid="{00000000-0002-0000-0100-000001000000}">
      <formula1>C$91:C$95</formula1>
    </dataValidation>
    <dataValidation type="list" allowBlank="1" showInputMessage="1" showErrorMessage="1" sqref="I97" xr:uid="{00000000-0002-0000-0100-000002000000}">
      <formula1>$C$98:$C$100</formula1>
    </dataValidation>
    <dataValidation type="list" allowBlank="1" showInputMessage="1" showErrorMessage="1" sqref="I49 I85 I81 I77 I73 I69 I65 I61 I57 I53" xr:uid="{00000000-0002-0000-0100-000003000000}">
      <formula1>$C$50:$C$51</formula1>
    </dataValidation>
    <dataValidation type="list" allowBlank="1" showInputMessage="1" showErrorMessage="1" sqref="I40" xr:uid="{00000000-0002-0000-0100-000004000000}">
      <formula1>$C$41:$C$46</formula1>
    </dataValidation>
    <dataValidation type="list" allowBlank="1" showInputMessage="1" showErrorMessage="1" sqref="I18" xr:uid="{00000000-0002-0000-0100-000005000000}">
      <formula1>$C$19:$C$23</formula1>
    </dataValidation>
    <dataValidation type="list" allowBlank="1" showInputMessage="1" showErrorMessage="1" sqref="I11" xr:uid="{00000000-0002-0000-0100-000006000000}">
      <formula1>$C$12:$C$16</formula1>
    </dataValidation>
    <dataValidation allowBlank="1" sqref="I120:I121 I109" xr:uid="{00000000-0002-0000-0100-000007000000}"/>
    <dataValidation type="list" allowBlank="1" sqref="C109" xr:uid="{00000000-0002-0000-0100-000008000000}">
      <formula1>$F$81:$F$83</formula1>
    </dataValidation>
    <dataValidation type="list" allowBlank="1" showInputMessage="1" showErrorMessage="1" sqref="I26" xr:uid="{00000000-0002-0000-0100-000009000000}">
      <formula1>$C$27:$C$30</formula1>
    </dataValidation>
    <dataValidation type="list" allowBlank="1" sqref="E109" xr:uid="{00000000-0002-0000-0100-00000A000000}">
      <formula1>$B$138:$B$140</formula1>
    </dataValidation>
  </dataValidations>
  <hyperlinks>
    <hyperlink ref="B4" r:id="rId1" display="1) Review the NHCF Product Highlight Sheet (Click this link)" xr:uid="{00000000-0004-0000-0100-000000000000}"/>
    <hyperlink ref="B32:E32" r:id="rId2" display="Environmental Efficiency  (Click here for detailed NHCF Requirements)" xr:uid="{00000000-0004-0000-0100-000001000000}"/>
    <hyperlink ref="B25" r:id="rId3" display="Accessibility" xr:uid="{00000000-0004-0000-0100-000002000000}"/>
    <hyperlink ref="B25:E25" r:id="rId4" display="Accessibility (Click here for detailed NHCF Requirements)" xr:uid="{00000000-0004-0000-0100-000003000000}"/>
  </hyperlinks>
  <pageMargins left="0.7" right="0.7" top="0.75" bottom="0.75" header="0.3" footer="0.3"/>
  <pageSetup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20481" r:id="rId8" name="Button 1">
              <controlPr defaultSize="0" print="0" autoFill="0" autoPict="0" macro="[0]!NextPage">
                <anchor moveWithCells="1" sizeWithCells="1">
                  <from>
                    <xdr:col>1</xdr:col>
                    <xdr:colOff>679450</xdr:colOff>
                    <xdr:row>131</xdr:row>
                    <xdr:rowOff>31750</xdr:rowOff>
                  </from>
                  <to>
                    <xdr:col>1</xdr:col>
                    <xdr:colOff>1600200</xdr:colOff>
                    <xdr:row>132</xdr:row>
                    <xdr:rowOff>184150</xdr:rowOff>
                  </to>
                </anchor>
              </controlPr>
            </control>
          </mc:Choice>
        </mc:AlternateContent>
        <mc:AlternateContent xmlns:mc="http://schemas.openxmlformats.org/markup-compatibility/2006">
          <mc:Choice Requires="x14">
            <control shapeId="20482" r:id="rId9" name="Button 2">
              <controlPr defaultSize="0" print="0" autoFill="0" autoPict="0" macro="[0]!Module2.Reset_Page_PG">
                <anchor moveWithCells="1" sizeWithCells="1">
                  <from>
                    <xdr:col>1</xdr:col>
                    <xdr:colOff>38100</xdr:colOff>
                    <xdr:row>135</xdr:row>
                    <xdr:rowOff>31750</xdr:rowOff>
                  </from>
                  <to>
                    <xdr:col>1</xdr:col>
                    <xdr:colOff>990600</xdr:colOff>
                    <xdr:row>136</xdr:row>
                    <xdr:rowOff>184150</xdr:rowOff>
                  </to>
                </anchor>
              </controlPr>
            </control>
          </mc:Choice>
        </mc:AlternateContent>
        <mc:AlternateContent xmlns:mc="http://schemas.openxmlformats.org/markup-compatibility/2006">
          <mc:Choice Requires="x14">
            <control shapeId="20483" r:id="rId10" name="Button 3">
              <controlPr defaultSize="0" print="0" autoFill="0" autoPict="0" macro="[0]!Module2.Reset_Page_All">
                <anchor moveWithCells="1" sizeWithCells="1">
                  <from>
                    <xdr:col>1</xdr:col>
                    <xdr:colOff>1276350</xdr:colOff>
                    <xdr:row>135</xdr:row>
                    <xdr:rowOff>31750</xdr:rowOff>
                  </from>
                  <to>
                    <xdr:col>1</xdr:col>
                    <xdr:colOff>2228850</xdr:colOff>
                    <xdr:row>136</xdr:row>
                    <xdr:rowOff>184150</xdr:rowOff>
                  </to>
                </anchor>
              </controlPr>
            </control>
          </mc:Choice>
        </mc:AlternateContent>
        <mc:AlternateContent xmlns:mc="http://schemas.openxmlformats.org/markup-compatibility/2006">
          <mc:Choice Requires="x14">
            <control shapeId="20484" r:id="rId11" name="Button 4">
              <controlPr defaultSize="0" print="0" autoFill="0" autoPict="0" macro="[0]!NextPage">
                <anchor moveWithCells="1" sizeWithCells="1">
                  <from>
                    <xdr:col>2</xdr:col>
                    <xdr:colOff>1289050</xdr:colOff>
                    <xdr:row>131</xdr:row>
                    <xdr:rowOff>31750</xdr:rowOff>
                  </from>
                  <to>
                    <xdr:col>2</xdr:col>
                    <xdr:colOff>2241550</xdr:colOff>
                    <xdr:row>132</xdr:row>
                    <xdr:rowOff>184150</xdr:rowOff>
                  </to>
                </anchor>
              </controlPr>
            </control>
          </mc:Choice>
        </mc:AlternateContent>
        <mc:AlternateContent xmlns:mc="http://schemas.openxmlformats.org/markup-compatibility/2006">
          <mc:Choice Requires="x14">
            <control shapeId="20485" r:id="rId12" name="Button 5">
              <controlPr defaultSize="0" print="0" autoFill="0" autoPict="0" macro="[0]!PrevPage">
                <anchor moveWithCells="1" sizeWithCells="1">
                  <from>
                    <xdr:col>2</xdr:col>
                    <xdr:colOff>38100</xdr:colOff>
                    <xdr:row>131</xdr:row>
                    <xdr:rowOff>31750</xdr:rowOff>
                  </from>
                  <to>
                    <xdr:col>2</xdr:col>
                    <xdr:colOff>1009650</xdr:colOff>
                    <xdr:row>132</xdr:row>
                    <xdr:rowOff>184150</xdr:rowOff>
                  </to>
                </anchor>
              </controlPr>
            </control>
          </mc:Choice>
        </mc:AlternateContent>
        <mc:AlternateContent xmlns:mc="http://schemas.openxmlformats.org/markup-compatibility/2006">
          <mc:Choice Requires="x14">
            <control shapeId="20486" r:id="rId13" name="Button 6">
              <controlPr defaultSize="0" print="0" autoFill="0" autoPict="0" macro="[0]!Reset_Page_RA">
                <anchor moveWithCells="1" sizeWithCells="1">
                  <from>
                    <xdr:col>2</xdr:col>
                    <xdr:colOff>38100</xdr:colOff>
                    <xdr:row>135</xdr:row>
                    <xdr:rowOff>31750</xdr:rowOff>
                  </from>
                  <to>
                    <xdr:col>2</xdr:col>
                    <xdr:colOff>990600</xdr:colOff>
                    <xdr:row>136</xdr:row>
                    <xdr:rowOff>184150</xdr:rowOff>
                  </to>
                </anchor>
              </controlPr>
            </control>
          </mc:Choice>
        </mc:AlternateContent>
        <mc:AlternateContent xmlns:mc="http://schemas.openxmlformats.org/markup-compatibility/2006">
          <mc:Choice Requires="x14">
            <control shapeId="20487" r:id="rId14" name="Button 7">
              <controlPr defaultSize="0" print="0" autoFill="0" autoPict="0" macro="[0]!NextPage">
                <anchor moveWithCells="1" sizeWithCells="1">
                  <from>
                    <xdr:col>1</xdr:col>
                    <xdr:colOff>679450</xdr:colOff>
                    <xdr:row>177</xdr:row>
                    <xdr:rowOff>31750</xdr:rowOff>
                  </from>
                  <to>
                    <xdr:col>1</xdr:col>
                    <xdr:colOff>1600200</xdr:colOff>
                    <xdr:row>178</xdr:row>
                    <xdr:rowOff>184150</xdr:rowOff>
                  </to>
                </anchor>
              </controlPr>
            </control>
          </mc:Choice>
        </mc:AlternateContent>
        <mc:AlternateContent xmlns:mc="http://schemas.openxmlformats.org/markup-compatibility/2006">
          <mc:Choice Requires="x14">
            <control shapeId="20488" r:id="rId15" name="Button 8">
              <controlPr defaultSize="0" print="0" autoFill="0" autoPict="0" macro="[0]!Module2.Reset_Page_PG">
                <anchor moveWithCells="1" sizeWithCells="1">
                  <from>
                    <xdr:col>1</xdr:col>
                    <xdr:colOff>38100</xdr:colOff>
                    <xdr:row>181</xdr:row>
                    <xdr:rowOff>31750</xdr:rowOff>
                  </from>
                  <to>
                    <xdr:col>1</xdr:col>
                    <xdr:colOff>990600</xdr:colOff>
                    <xdr:row>182</xdr:row>
                    <xdr:rowOff>184150</xdr:rowOff>
                  </to>
                </anchor>
              </controlPr>
            </control>
          </mc:Choice>
        </mc:AlternateContent>
        <mc:AlternateContent xmlns:mc="http://schemas.openxmlformats.org/markup-compatibility/2006">
          <mc:Choice Requires="x14">
            <control shapeId="20489" r:id="rId16" name="Button 9">
              <controlPr defaultSize="0" print="0" autoFill="0" autoPict="0" macro="[0]!Module2.Reset_Page_All">
                <anchor moveWithCells="1" sizeWithCells="1">
                  <from>
                    <xdr:col>1</xdr:col>
                    <xdr:colOff>1276350</xdr:colOff>
                    <xdr:row>181</xdr:row>
                    <xdr:rowOff>31750</xdr:rowOff>
                  </from>
                  <to>
                    <xdr:col>1</xdr:col>
                    <xdr:colOff>2228850</xdr:colOff>
                    <xdr:row>182</xdr:row>
                    <xdr:rowOff>184150</xdr:rowOff>
                  </to>
                </anchor>
              </controlPr>
            </control>
          </mc:Choice>
        </mc:AlternateContent>
        <mc:AlternateContent xmlns:mc="http://schemas.openxmlformats.org/markup-compatibility/2006">
          <mc:Choice Requires="x14">
            <control shapeId="20490" r:id="rId17" name="Button 10">
              <controlPr defaultSize="0" print="0" autoFill="0" autoPict="0" macro="[0]!NextPage">
                <anchor moveWithCells="1" sizeWithCells="1">
                  <from>
                    <xdr:col>2</xdr:col>
                    <xdr:colOff>1289050</xdr:colOff>
                    <xdr:row>177</xdr:row>
                    <xdr:rowOff>31750</xdr:rowOff>
                  </from>
                  <to>
                    <xdr:col>2</xdr:col>
                    <xdr:colOff>2241550</xdr:colOff>
                    <xdr:row>178</xdr:row>
                    <xdr:rowOff>184150</xdr:rowOff>
                  </to>
                </anchor>
              </controlPr>
            </control>
          </mc:Choice>
        </mc:AlternateContent>
        <mc:AlternateContent xmlns:mc="http://schemas.openxmlformats.org/markup-compatibility/2006">
          <mc:Choice Requires="x14">
            <control shapeId="20491" r:id="rId18" name="Button 11">
              <controlPr defaultSize="0" print="0" autoFill="0" autoPict="0" macro="[0]!PrevPage">
                <anchor moveWithCells="1" sizeWithCells="1">
                  <from>
                    <xdr:col>2</xdr:col>
                    <xdr:colOff>38100</xdr:colOff>
                    <xdr:row>177</xdr:row>
                    <xdr:rowOff>31750</xdr:rowOff>
                  </from>
                  <to>
                    <xdr:col>2</xdr:col>
                    <xdr:colOff>1009650</xdr:colOff>
                    <xdr:row>178</xdr:row>
                    <xdr:rowOff>184150</xdr:rowOff>
                  </to>
                </anchor>
              </controlPr>
            </control>
          </mc:Choice>
        </mc:AlternateContent>
        <mc:AlternateContent xmlns:mc="http://schemas.openxmlformats.org/markup-compatibility/2006">
          <mc:Choice Requires="x14">
            <control shapeId="20492" r:id="rId19" name="Button 12">
              <controlPr defaultSize="0" print="0" autoFill="0" autoPict="0" macro="[0]!Reset_Page_RA">
                <anchor moveWithCells="1" sizeWithCells="1">
                  <from>
                    <xdr:col>2</xdr:col>
                    <xdr:colOff>38100</xdr:colOff>
                    <xdr:row>181</xdr:row>
                    <xdr:rowOff>31750</xdr:rowOff>
                  </from>
                  <to>
                    <xdr:col>2</xdr:col>
                    <xdr:colOff>990600</xdr:colOff>
                    <xdr:row>182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H89"/>
  <sheetViews>
    <sheetView showGridLines="0" topLeftCell="A7" zoomScale="55" zoomScaleNormal="55" workbookViewId="0">
      <selection activeCell="E15" sqref="E15"/>
    </sheetView>
  </sheetViews>
  <sheetFormatPr defaultColWidth="8.81640625" defaultRowHeight="14.5" x14ac:dyDescent="0.35"/>
  <cols>
    <col min="1" max="1" width="2.7265625" style="3" customWidth="1"/>
    <col min="2" max="2" width="50.1796875" style="3" customWidth="1"/>
    <col min="3" max="3" width="20.7265625" style="3" customWidth="1"/>
    <col min="4" max="4" width="10.7265625" style="3" customWidth="1"/>
    <col min="5" max="8" width="12.7265625" style="3" customWidth="1"/>
    <col min="9" max="9" width="18.7265625" style="3" customWidth="1"/>
    <col min="10" max="10" width="18.7265625" customWidth="1"/>
    <col min="11" max="11" width="16.26953125" customWidth="1"/>
    <col min="12" max="12" width="3.7265625" customWidth="1"/>
    <col min="13" max="13" width="2.7265625" style="3" customWidth="1"/>
    <col min="14" max="14" width="2.1796875" style="4" customWidth="1"/>
    <col min="15" max="15" width="11" style="3" hidden="1" customWidth="1"/>
    <col min="16" max="16" width="39.1796875" style="3" hidden="1" customWidth="1"/>
    <col min="17" max="17" width="10.7265625" style="3" hidden="1" customWidth="1"/>
    <col min="18" max="18" width="9.1796875" style="3" hidden="1" customWidth="1"/>
    <col min="19" max="19" width="9.7265625" style="3" hidden="1" customWidth="1"/>
    <col min="20" max="20" width="7" style="3" hidden="1" customWidth="1"/>
    <col min="21" max="21" width="7.1796875" style="3" hidden="1" customWidth="1"/>
    <col min="22" max="22" width="17.26953125" style="3" hidden="1" customWidth="1"/>
    <col min="23" max="23" width="5" style="3" customWidth="1"/>
    <col min="24" max="24" width="72.54296875" style="3" customWidth="1"/>
    <col min="25" max="25" width="14.54296875" style="3" customWidth="1"/>
    <col min="26" max="26" width="12.54296875" style="3" customWidth="1"/>
    <col min="27" max="27" width="5" style="3" customWidth="1"/>
    <col min="28" max="30" width="8.81640625" style="3"/>
    <col min="31" max="31" width="1.81640625" style="3" customWidth="1"/>
    <col min="32" max="32" width="2.54296875" style="3" hidden="1" customWidth="1"/>
    <col min="33" max="33" width="8.81640625" style="3" hidden="1" customWidth="1"/>
    <col min="34" max="34" width="9.54296875" style="3" customWidth="1"/>
    <col min="35" max="16384" width="8.81640625" style="3"/>
  </cols>
  <sheetData>
    <row r="1" spans="1:34" x14ac:dyDescent="0.35">
      <c r="A1" s="84" t="s">
        <v>10</v>
      </c>
      <c r="B1" s="85"/>
      <c r="C1" s="85"/>
      <c r="D1" s="85"/>
      <c r="E1" s="85"/>
      <c r="F1" s="85"/>
    </row>
    <row r="2" spans="1:34" customFormat="1" ht="23.5" customHeight="1" x14ac:dyDescent="0.6">
      <c r="A2" s="688" t="s">
        <v>117</v>
      </c>
      <c r="B2" s="688"/>
      <c r="C2" s="688"/>
      <c r="D2" s="688"/>
      <c r="E2" s="688"/>
      <c r="F2" s="688"/>
      <c r="G2" s="688"/>
      <c r="H2" s="688"/>
      <c r="I2" s="688"/>
      <c r="J2" s="688"/>
      <c r="K2" s="688"/>
      <c r="L2" s="688"/>
      <c r="M2" s="688"/>
      <c r="X2" s="404" t="s">
        <v>11</v>
      </c>
      <c r="Y2" s="15"/>
      <c r="Z2" s="15"/>
      <c r="AA2" s="15"/>
      <c r="AB2" s="15"/>
      <c r="AC2" s="15"/>
      <c r="AD2" s="15"/>
      <c r="AE2" s="15"/>
      <c r="AF2" s="15"/>
      <c r="AG2" s="15"/>
      <c r="AH2" s="15"/>
    </row>
    <row r="3" spans="1:34" s="15" customFormat="1" ht="18.5" x14ac:dyDescent="0.45">
      <c r="A3" s="97"/>
      <c r="K3" s="14"/>
      <c r="L3" s="14"/>
      <c r="M3" s="99"/>
      <c r="N3" s="5"/>
      <c r="P3" s="3" t="s">
        <v>118</v>
      </c>
      <c r="W3" s="157"/>
      <c r="X3" s="405" t="s">
        <v>119</v>
      </c>
      <c r="Y3" s="406"/>
      <c r="Z3" s="407"/>
      <c r="AA3" s="406"/>
      <c r="AB3" s="406"/>
      <c r="AC3" s="408"/>
      <c r="AD3" s="408"/>
      <c r="AE3" s="408"/>
      <c r="AF3" s="408"/>
      <c r="AG3" s="408"/>
      <c r="AH3" s="408"/>
    </row>
    <row r="4" spans="1:34" s="15" customFormat="1" ht="18.5" x14ac:dyDescent="0.45">
      <c r="A4" s="98"/>
      <c r="B4" s="38" t="s">
        <v>120</v>
      </c>
      <c r="C4" s="38"/>
      <c r="D4" s="53"/>
      <c r="E4" s="14"/>
      <c r="F4" s="14"/>
      <c r="G4" s="14"/>
      <c r="H4" s="14"/>
      <c r="I4" s="11"/>
      <c r="J4" s="14"/>
      <c r="K4" s="14"/>
      <c r="L4" s="14"/>
      <c r="M4" s="99"/>
      <c r="N4" s="5"/>
      <c r="P4" s="3"/>
      <c r="W4" s="157"/>
      <c r="X4" s="645" t="s">
        <v>121</v>
      </c>
      <c r="Y4" s="646"/>
      <c r="Z4" s="646"/>
      <c r="AA4" s="646"/>
      <c r="AB4" s="646"/>
      <c r="AC4" s="646"/>
      <c r="AD4" s="646"/>
      <c r="AE4" s="646"/>
      <c r="AF4" s="646"/>
      <c r="AG4" s="646"/>
      <c r="AH4" s="647"/>
    </row>
    <row r="5" spans="1:34" s="15" customFormat="1" ht="18.5" x14ac:dyDescent="0.45">
      <c r="A5" s="98"/>
      <c r="B5" s="38"/>
      <c r="C5" s="38"/>
      <c r="D5" s="57"/>
      <c r="G5" s="14"/>
      <c r="H5" s="14"/>
      <c r="I5" s="11"/>
      <c r="J5" s="14"/>
      <c r="K5" s="14"/>
      <c r="L5" s="14"/>
      <c r="M5" s="99"/>
      <c r="N5" s="5"/>
      <c r="P5" s="3"/>
      <c r="W5" s="157"/>
      <c r="X5" s="409" t="s">
        <v>122</v>
      </c>
      <c r="Y5" s="410"/>
      <c r="Z5" s="410"/>
      <c r="AA5" s="411"/>
      <c r="AB5" s="411"/>
      <c r="AC5" s="411"/>
      <c r="AD5" s="411"/>
      <c r="AE5" s="411"/>
      <c r="AF5" s="411"/>
      <c r="AG5" s="411"/>
      <c r="AH5" s="412"/>
    </row>
    <row r="6" spans="1:34" s="15" customFormat="1" ht="18.5" x14ac:dyDescent="0.45">
      <c r="A6" s="98"/>
      <c r="B6" s="56" t="s">
        <v>123</v>
      </c>
      <c r="C6" s="86"/>
      <c r="D6" s="57"/>
      <c r="G6" s="14"/>
      <c r="H6" s="14"/>
      <c r="I6" s="11"/>
      <c r="J6" s="14"/>
      <c r="K6" s="14"/>
      <c r="L6" s="14"/>
      <c r="M6" s="99"/>
      <c r="N6" s="5"/>
      <c r="P6" s="3"/>
      <c r="W6" s="157"/>
      <c r="X6" s="413" t="s">
        <v>124</v>
      </c>
      <c r="Y6" s="410"/>
      <c r="Z6" s="410"/>
      <c r="AA6" s="411"/>
      <c r="AB6" s="411"/>
      <c r="AC6" s="411"/>
      <c r="AD6" s="411"/>
      <c r="AE6" s="411"/>
      <c r="AF6" s="411"/>
      <c r="AG6" s="411"/>
      <c r="AH6" s="412"/>
    </row>
    <row r="7" spans="1:34" s="15" customFormat="1" ht="18.5" x14ac:dyDescent="0.45">
      <c r="A7" s="98"/>
      <c r="B7" s="36" t="s">
        <v>125</v>
      </c>
      <c r="C7" s="86"/>
      <c r="D7" s="58"/>
      <c r="G7" s="14"/>
      <c r="H7" s="14"/>
      <c r="I7" s="11"/>
      <c r="J7" s="14"/>
      <c r="K7" s="14"/>
      <c r="L7" s="14"/>
      <c r="M7" s="99"/>
      <c r="N7" s="5"/>
      <c r="P7" s="3"/>
      <c r="W7" s="157"/>
      <c r="X7" s="413" t="s">
        <v>126</v>
      </c>
      <c r="Y7" s="410"/>
      <c r="Z7" s="410"/>
      <c r="AA7" s="411"/>
      <c r="AB7" s="411"/>
      <c r="AC7" s="411"/>
      <c r="AD7" s="411"/>
      <c r="AE7" s="411"/>
      <c r="AF7" s="411"/>
      <c r="AG7" s="411"/>
      <c r="AH7" s="412"/>
    </row>
    <row r="8" spans="1:34" s="15" customFormat="1" ht="19" thickBot="1" x14ac:dyDescent="0.5">
      <c r="A8" s="98"/>
      <c r="B8" s="36" t="s">
        <v>127</v>
      </c>
      <c r="C8" s="86"/>
      <c r="D8" s="58"/>
      <c r="E8" s="14"/>
      <c r="F8" s="14"/>
      <c r="G8" s="14"/>
      <c r="H8" s="14"/>
      <c r="I8" s="11"/>
      <c r="J8" s="14"/>
      <c r="K8" s="14"/>
      <c r="L8" s="14"/>
      <c r="M8" s="99"/>
      <c r="N8" s="5"/>
      <c r="P8" s="3"/>
      <c r="W8" s="157"/>
      <c r="X8" s="413" t="s">
        <v>128</v>
      </c>
      <c r="Y8" s="414"/>
      <c r="Z8" s="414"/>
      <c r="AA8" s="411"/>
      <c r="AB8" s="411"/>
      <c r="AC8" s="411"/>
      <c r="AD8" s="411"/>
      <c r="AE8" s="411"/>
      <c r="AF8" s="411"/>
      <c r="AG8" s="411"/>
      <c r="AH8" s="412"/>
    </row>
    <row r="9" spans="1:34" ht="18.5" x14ac:dyDescent="0.45">
      <c r="A9" s="98"/>
      <c r="B9" s="163"/>
      <c r="C9" s="164"/>
      <c r="D9" s="58"/>
      <c r="E9" s="14"/>
      <c r="F9" s="14"/>
      <c r="G9" s="14"/>
      <c r="H9" s="14"/>
      <c r="I9" s="11"/>
      <c r="J9" s="14"/>
      <c r="K9" s="159"/>
      <c r="L9" s="159"/>
      <c r="M9" s="99"/>
      <c r="N9" s="5"/>
      <c r="O9" s="194"/>
      <c r="P9" s="195"/>
      <c r="Q9" s="196" t="s">
        <v>129</v>
      </c>
      <c r="R9" s="196" t="s">
        <v>130</v>
      </c>
      <c r="S9" s="196" t="s">
        <v>131</v>
      </c>
      <c r="T9" s="197" t="s">
        <v>132</v>
      </c>
      <c r="W9" s="157"/>
      <c r="X9" s="413" t="s">
        <v>133</v>
      </c>
      <c r="Y9" s="414"/>
      <c r="Z9" s="414"/>
      <c r="AA9" s="411"/>
      <c r="AB9" s="411"/>
      <c r="AC9" s="411"/>
      <c r="AD9" s="411"/>
      <c r="AE9" s="411"/>
      <c r="AF9" s="411"/>
      <c r="AG9" s="411"/>
      <c r="AH9" s="412"/>
    </row>
    <row r="10" spans="1:34" ht="18.5" x14ac:dyDescent="0.45">
      <c r="A10" s="95"/>
      <c r="B10" s="47"/>
      <c r="C10" s="168"/>
      <c r="D10" s="50"/>
      <c r="E10" s="48"/>
      <c r="F10" s="48"/>
      <c r="G10" s="48"/>
      <c r="H10" s="50"/>
      <c r="I10" s="49" t="s">
        <v>134</v>
      </c>
      <c r="J10" s="49" t="s">
        <v>135</v>
      </c>
      <c r="K10" s="160"/>
      <c r="L10" s="160"/>
      <c r="M10" s="99"/>
      <c r="N10" s="5"/>
      <c r="O10" s="206"/>
      <c r="P10" s="207">
        <v>0.8</v>
      </c>
      <c r="Q10" s="207">
        <v>0.79</v>
      </c>
      <c r="R10" s="207">
        <v>0.69</v>
      </c>
      <c r="S10" s="207">
        <v>0.59</v>
      </c>
      <c r="T10" s="208">
        <v>0.5</v>
      </c>
      <c r="W10" s="157"/>
      <c r="X10" s="415" t="s">
        <v>136</v>
      </c>
      <c r="Y10" s="416"/>
      <c r="Z10" s="416"/>
      <c r="AA10" s="417"/>
      <c r="AB10" s="417"/>
      <c r="AC10" s="417"/>
      <c r="AD10" s="417"/>
      <c r="AE10" s="417"/>
      <c r="AF10" s="417"/>
      <c r="AG10" s="417"/>
      <c r="AH10" s="418"/>
    </row>
    <row r="11" spans="1:34" ht="18.5" x14ac:dyDescent="0.45">
      <c r="A11" s="95"/>
      <c r="B11" s="47"/>
      <c r="C11" s="168" t="s">
        <v>137</v>
      </c>
      <c r="D11" s="50" t="s">
        <v>138</v>
      </c>
      <c r="E11" s="50" t="s">
        <v>139</v>
      </c>
      <c r="F11" s="50" t="s">
        <v>140</v>
      </c>
      <c r="G11" s="50" t="s">
        <v>141</v>
      </c>
      <c r="H11" s="50" t="s">
        <v>142</v>
      </c>
      <c r="I11" s="169" t="s">
        <v>143</v>
      </c>
      <c r="J11" s="169" t="s">
        <v>144</v>
      </c>
      <c r="K11" s="3"/>
      <c r="L11" s="161"/>
      <c r="M11" s="99"/>
      <c r="N11" s="5"/>
      <c r="O11" s="198" t="s">
        <v>145</v>
      </c>
      <c r="P11" s="6"/>
      <c r="Q11" s="210">
        <v>0.7</v>
      </c>
      <c r="R11" s="210">
        <v>0.6</v>
      </c>
      <c r="S11" s="210">
        <v>0.5</v>
      </c>
      <c r="T11" s="199"/>
      <c r="W11" s="2"/>
      <c r="X11" s="408"/>
      <c r="Y11" s="408"/>
      <c r="Z11" s="408"/>
      <c r="AA11" s="408"/>
      <c r="AB11" s="408"/>
      <c r="AC11" s="408"/>
      <c r="AD11" s="408"/>
      <c r="AE11" s="408"/>
      <c r="AF11" s="408"/>
      <c r="AG11" s="408"/>
      <c r="AH11" s="408"/>
    </row>
    <row r="12" spans="1:34" ht="19" x14ac:dyDescent="0.5">
      <c r="A12" s="95"/>
      <c r="B12" s="173" t="s">
        <v>146</v>
      </c>
      <c r="C12" s="174" t="s">
        <v>147</v>
      </c>
      <c r="D12" s="174" t="s">
        <v>148</v>
      </c>
      <c r="E12" s="174" t="s">
        <v>149</v>
      </c>
      <c r="F12" s="174" t="s">
        <v>149</v>
      </c>
      <c r="G12" s="174" t="s">
        <v>150</v>
      </c>
      <c r="H12" s="174" t="s">
        <v>151</v>
      </c>
      <c r="I12" s="175" t="s">
        <v>152</v>
      </c>
      <c r="J12" s="175" t="s">
        <v>153</v>
      </c>
      <c r="K12" s="237" t="s">
        <v>154</v>
      </c>
      <c r="L12" s="161"/>
      <c r="M12" s="99"/>
      <c r="N12" s="5"/>
      <c r="O12" s="206" t="s">
        <v>155</v>
      </c>
      <c r="P12" s="207">
        <v>0.8</v>
      </c>
      <c r="Q12" s="209">
        <v>0.79990000000000006</v>
      </c>
      <c r="R12" s="209">
        <v>0.69989999999999997</v>
      </c>
      <c r="S12" s="209">
        <v>0.59989999999999999</v>
      </c>
      <c r="T12" s="208">
        <v>0.5</v>
      </c>
      <c r="W12" s="6"/>
      <c r="X12" s="405" t="s">
        <v>156</v>
      </c>
      <c r="Y12" s="414"/>
      <c r="Z12" s="414"/>
      <c r="AA12" s="408"/>
      <c r="AB12" s="408"/>
      <c r="AC12" s="408"/>
      <c r="AD12" s="408"/>
      <c r="AE12" s="408"/>
      <c r="AF12" s="408"/>
      <c r="AG12" s="408"/>
      <c r="AH12" s="408"/>
    </row>
    <row r="13" spans="1:34" ht="18.5" x14ac:dyDescent="0.45">
      <c r="A13" s="158">
        <v>13</v>
      </c>
      <c r="B13" s="51" t="s">
        <v>157</v>
      </c>
      <c r="C13" s="87"/>
      <c r="D13" s="87"/>
      <c r="E13" s="107"/>
      <c r="F13" s="61"/>
      <c r="G13" s="61"/>
      <c r="H13" s="41"/>
      <c r="I13" s="123">
        <f>E13*D13</f>
        <v>0</v>
      </c>
      <c r="J13" s="162">
        <f>I13*12</f>
        <v>0</v>
      </c>
      <c r="K13" s="298"/>
      <c r="M13" s="99"/>
      <c r="N13" s="5"/>
      <c r="O13" s="198"/>
      <c r="P13" s="200"/>
      <c r="Q13" s="201"/>
      <c r="R13" s="201"/>
      <c r="S13" s="201"/>
      <c r="T13" s="202"/>
      <c r="V13" s="211"/>
      <c r="X13" s="405" t="s">
        <v>447</v>
      </c>
      <c r="Y13" s="414"/>
      <c r="Z13" s="414"/>
      <c r="AA13" s="408"/>
      <c r="AB13" s="408"/>
      <c r="AC13" s="408"/>
      <c r="AD13" s="408"/>
      <c r="AE13" s="408"/>
      <c r="AF13" s="414"/>
      <c r="AG13" s="408"/>
      <c r="AH13" s="408"/>
    </row>
    <row r="14" spans="1:34" ht="18.5" x14ac:dyDescent="0.45">
      <c r="A14" s="158"/>
      <c r="B14" s="52" t="s">
        <v>158</v>
      </c>
      <c r="C14" s="87"/>
      <c r="D14" s="87"/>
      <c r="E14" s="61"/>
      <c r="F14" s="107"/>
      <c r="G14" s="107"/>
      <c r="H14" s="343">
        <f>IFERROR(F14/G14,0)</f>
        <v>0</v>
      </c>
      <c r="I14" s="123">
        <f>F14*D14</f>
        <v>0</v>
      </c>
      <c r="J14" s="162">
        <f t="shared" ref="J14" si="0">I14*12</f>
        <v>0</v>
      </c>
      <c r="K14" s="298"/>
      <c r="M14" s="99"/>
      <c r="N14" s="5"/>
      <c r="O14" s="198"/>
      <c r="P14" s="185">
        <f>IF(H14=0,0,IF(H14&lt;$P$10,D14,0))</f>
        <v>0</v>
      </c>
      <c r="Q14" s="185">
        <f>IF(H14=0,0,IF(AND(H14&lt;=$Q$12,H14&gt;=$Q$11),D14,0))</f>
        <v>0</v>
      </c>
      <c r="R14" s="185">
        <f>IF(H14=0,0,IF(AND(H14&lt;=$R$12,H14&gt;=$R$11),D14,0))</f>
        <v>0</v>
      </c>
      <c r="S14" s="185">
        <f>IF(H14=0,0,IF(AND(H14&lt;=$S$12,H14&gt;=$S$11),D14,0))</f>
        <v>0</v>
      </c>
      <c r="T14" s="203">
        <f>IF(H14=0,0,IF(H14&lt;$T$12,D14,0))</f>
        <v>0</v>
      </c>
      <c r="V14" s="54"/>
      <c r="W14" s="157"/>
      <c r="X14" s="405" t="s">
        <v>448</v>
      </c>
      <c r="Y14" s="408"/>
      <c r="Z14" s="408"/>
      <c r="AA14" s="408"/>
      <c r="AB14" s="408"/>
      <c r="AC14" s="408"/>
      <c r="AD14" s="408"/>
      <c r="AE14" s="408"/>
      <c r="AF14" s="408"/>
      <c r="AG14" s="408"/>
      <c r="AH14" s="408"/>
    </row>
    <row r="15" spans="1:34" ht="18.5" x14ac:dyDescent="0.45">
      <c r="A15" s="158">
        <v>14</v>
      </c>
      <c r="B15" s="51" t="s">
        <v>159</v>
      </c>
      <c r="C15" s="87"/>
      <c r="D15" s="87"/>
      <c r="E15" s="107"/>
      <c r="F15" s="61"/>
      <c r="G15" s="61"/>
      <c r="H15" s="41"/>
      <c r="I15" s="123">
        <f>E15*D15</f>
        <v>0</v>
      </c>
      <c r="J15" s="162">
        <f t="shared" ref="J15:J23" si="1">I15*12</f>
        <v>0</v>
      </c>
      <c r="K15" s="298"/>
      <c r="M15" s="99"/>
      <c r="N15" s="5"/>
      <c r="O15" s="198"/>
      <c r="P15" s="200"/>
      <c r="Q15" s="201"/>
      <c r="R15" s="201"/>
      <c r="S15" s="201"/>
      <c r="T15" s="202"/>
      <c r="V15" s="54"/>
      <c r="X15" s="408"/>
      <c r="Y15" s="408"/>
      <c r="Z15" s="408"/>
      <c r="AA15" s="408"/>
      <c r="AB15" s="408"/>
      <c r="AC15" s="408"/>
      <c r="AD15" s="419"/>
      <c r="AE15" s="419"/>
      <c r="AF15" s="419"/>
      <c r="AG15" s="408"/>
      <c r="AH15" s="408"/>
    </row>
    <row r="16" spans="1:34" ht="15" customHeight="1" x14ac:dyDescent="0.45">
      <c r="A16" s="158"/>
      <c r="B16" s="52" t="s">
        <v>160</v>
      </c>
      <c r="C16" s="87"/>
      <c r="D16" s="87"/>
      <c r="E16" s="61"/>
      <c r="F16" s="107"/>
      <c r="G16" s="107"/>
      <c r="H16" s="343">
        <f>IFERROR(F16/G16,0)</f>
        <v>0</v>
      </c>
      <c r="I16" s="123">
        <f>F16*D16</f>
        <v>0</v>
      </c>
      <c r="J16" s="162">
        <f t="shared" si="1"/>
        <v>0</v>
      </c>
      <c r="K16" s="298"/>
      <c r="L16" s="165"/>
      <c r="M16" s="99"/>
      <c r="N16" s="5"/>
      <c r="O16" s="198"/>
      <c r="P16" s="185">
        <f>IF(H16=0,0,IF(H16&lt;$P$10,D16,0))</f>
        <v>0</v>
      </c>
      <c r="Q16" s="185">
        <f>IF(H16=0,0,IF(AND(H16&lt;=$Q$12,H16&gt;=$Q$11),D16,0))</f>
        <v>0</v>
      </c>
      <c r="R16" s="185">
        <f>IF(H16=0,0,IF(AND(H16&lt;=$R$12,H16&gt;=$R$11),D16,0))</f>
        <v>0</v>
      </c>
      <c r="S16" s="185">
        <f>IF(H16=0,0,IF(AND(H16&lt;=$S$12,H16&gt;=$S$11),D16,0))</f>
        <v>0</v>
      </c>
      <c r="T16" s="203">
        <f>IF(H16=0,0,IF(H16&lt;$T$12,D16,0))</f>
        <v>0</v>
      </c>
      <c r="V16" s="54"/>
      <c r="X16" s="645" t="s">
        <v>161</v>
      </c>
      <c r="Y16" s="646"/>
      <c r="Z16" s="646"/>
      <c r="AA16" s="647"/>
      <c r="AB16" s="408"/>
      <c r="AC16" s="408"/>
      <c r="AD16" s="408"/>
      <c r="AE16" s="408"/>
      <c r="AF16" s="414"/>
      <c r="AG16" s="408"/>
      <c r="AH16" s="408"/>
    </row>
    <row r="17" spans="1:34" ht="21.5" x14ac:dyDescent="0.75">
      <c r="A17" s="158">
        <v>16</v>
      </c>
      <c r="B17" s="51" t="s">
        <v>162</v>
      </c>
      <c r="C17" s="87"/>
      <c r="D17" s="87"/>
      <c r="E17" s="107"/>
      <c r="F17" s="61"/>
      <c r="G17" s="61"/>
      <c r="H17" s="41"/>
      <c r="I17" s="123">
        <f>E17*D17</f>
        <v>0</v>
      </c>
      <c r="J17" s="162">
        <f t="shared" si="1"/>
        <v>0</v>
      </c>
      <c r="K17" s="298"/>
      <c r="M17" s="99"/>
      <c r="N17" s="5"/>
      <c r="O17" s="198"/>
      <c r="P17" s="200"/>
      <c r="Q17" s="201"/>
      <c r="R17" s="201"/>
      <c r="S17" s="201"/>
      <c r="T17" s="202"/>
      <c r="V17" s="54"/>
      <c r="X17" s="420" t="s">
        <v>163</v>
      </c>
      <c r="Y17" s="411"/>
      <c r="Z17" s="411"/>
      <c r="AA17" s="412"/>
      <c r="AB17" s="408"/>
      <c r="AC17" s="408"/>
      <c r="AD17" s="408"/>
      <c r="AE17" s="408"/>
      <c r="AF17" s="414"/>
      <c r="AG17" s="408"/>
      <c r="AH17" s="408"/>
    </row>
    <row r="18" spans="1:34" ht="18.5" x14ac:dyDescent="0.45">
      <c r="A18" s="158"/>
      <c r="B18" s="52" t="s">
        <v>164</v>
      </c>
      <c r="C18" s="87"/>
      <c r="D18" s="87"/>
      <c r="E18" s="61"/>
      <c r="F18" s="107"/>
      <c r="G18" s="107"/>
      <c r="H18" s="343">
        <f>IFERROR(F18/G18,0)</f>
        <v>0</v>
      </c>
      <c r="I18" s="123">
        <f>F18*D18</f>
        <v>0</v>
      </c>
      <c r="J18" s="162">
        <f t="shared" si="1"/>
        <v>0</v>
      </c>
      <c r="K18" s="298"/>
      <c r="M18" s="99"/>
      <c r="N18" s="5"/>
      <c r="O18" s="198"/>
      <c r="P18" s="185">
        <f>IF(H18=0,0,IF(H18&lt;$P$10,D18,0))</f>
        <v>0</v>
      </c>
      <c r="Q18" s="185">
        <f>IF(H18=0,0,IF(AND(H18&lt;=$Q$12,H18&gt;=$Q$11),D18,0))</f>
        <v>0</v>
      </c>
      <c r="R18" s="185">
        <f>IF(H18=0,0,IF(AND(H18&lt;=$R$12,H18&gt;=$R$11),D18,0))</f>
        <v>0</v>
      </c>
      <c r="S18" s="185">
        <f>IF(H18=0,0,IF(AND(H18&lt;=$S$12,H18&gt;=$S$11),D18,0))</f>
        <v>0</v>
      </c>
      <c r="T18" s="203">
        <f>IF(H18=0,0,IF(H18&lt;$T$12,D18,0))</f>
        <v>0</v>
      </c>
      <c r="V18" s="54"/>
      <c r="X18" s="413" t="s">
        <v>165</v>
      </c>
      <c r="Y18" s="411"/>
      <c r="Z18" s="411"/>
      <c r="AA18" s="412"/>
      <c r="AB18" s="408"/>
      <c r="AC18" s="408"/>
      <c r="AD18" s="408"/>
      <c r="AE18" s="408"/>
      <c r="AF18" s="408"/>
      <c r="AG18" s="408"/>
      <c r="AH18" s="408"/>
    </row>
    <row r="19" spans="1:34" ht="21.5" x14ac:dyDescent="0.75">
      <c r="A19" s="158">
        <v>18</v>
      </c>
      <c r="B19" s="51" t="s">
        <v>166</v>
      </c>
      <c r="C19" s="87"/>
      <c r="D19" s="87"/>
      <c r="E19" s="107"/>
      <c r="F19" s="61"/>
      <c r="G19" s="61"/>
      <c r="H19" s="41"/>
      <c r="I19" s="123">
        <f>E19*D19</f>
        <v>0</v>
      </c>
      <c r="J19" s="162">
        <f t="shared" si="1"/>
        <v>0</v>
      </c>
      <c r="K19" s="298"/>
      <c r="L19" s="165"/>
      <c r="M19" s="99"/>
      <c r="N19" s="5"/>
      <c r="O19" s="198"/>
      <c r="P19" s="200"/>
      <c r="Q19" s="201"/>
      <c r="R19" s="201"/>
      <c r="S19" s="201"/>
      <c r="T19" s="202"/>
      <c r="V19" s="54"/>
      <c r="X19" s="420" t="s">
        <v>409</v>
      </c>
      <c r="Y19" s="411"/>
      <c r="Z19" s="411"/>
      <c r="AA19" s="412"/>
      <c r="AB19" s="408"/>
      <c r="AC19" s="408"/>
      <c r="AD19" s="408"/>
      <c r="AE19" s="408"/>
      <c r="AF19" s="408"/>
      <c r="AG19" s="408"/>
      <c r="AH19" s="408"/>
    </row>
    <row r="20" spans="1:34" ht="18.5" x14ac:dyDescent="0.45">
      <c r="A20" s="158"/>
      <c r="B20" s="52" t="s">
        <v>167</v>
      </c>
      <c r="C20" s="87"/>
      <c r="D20" s="87"/>
      <c r="E20" s="61"/>
      <c r="F20" s="107"/>
      <c r="G20" s="107"/>
      <c r="H20" s="343">
        <f>IFERROR(F20/G20,0)</f>
        <v>0</v>
      </c>
      <c r="I20" s="123">
        <f>F20*D20</f>
        <v>0</v>
      </c>
      <c r="J20" s="162">
        <f t="shared" si="1"/>
        <v>0</v>
      </c>
      <c r="K20" s="298"/>
      <c r="M20" s="99"/>
      <c r="N20" s="5"/>
      <c r="O20" s="198"/>
      <c r="P20" s="185">
        <f>IF(H20=0,0,IF(H20&lt;$P$10,D20,0))</f>
        <v>0</v>
      </c>
      <c r="Q20" s="185">
        <f>IF(H20=0,0,IF(AND(H20&lt;=$Q$12,H20&gt;=$Q$11),D20,0))</f>
        <v>0</v>
      </c>
      <c r="R20" s="185">
        <f>IF(H20=0,0,IF(AND(H20&lt;=$R$12,H20&gt;=$R$11),D20,0))</f>
        <v>0</v>
      </c>
      <c r="S20" s="185">
        <f>IF(H20=0,0,IF(AND(H20&lt;=$S$12,H20&gt;=$S$11),D20,0))</f>
        <v>0</v>
      </c>
      <c r="T20" s="203">
        <f>IF(H20=0,0,IF(H20&lt;$T$12,D20,0))</f>
        <v>0</v>
      </c>
      <c r="V20" s="54"/>
      <c r="X20" s="413" t="s">
        <v>449</v>
      </c>
      <c r="Y20" s="411"/>
      <c r="Z20" s="411"/>
      <c r="AA20" s="412"/>
      <c r="AB20" s="408"/>
      <c r="AC20" s="408"/>
      <c r="AD20" s="408"/>
      <c r="AE20" s="408"/>
      <c r="AF20" s="408"/>
      <c r="AG20" s="408"/>
      <c r="AH20" s="408"/>
    </row>
    <row r="21" spans="1:34" ht="21.5" x14ac:dyDescent="0.75">
      <c r="A21" s="158"/>
      <c r="B21" s="51" t="s">
        <v>168</v>
      </c>
      <c r="C21" s="87"/>
      <c r="D21" s="87"/>
      <c r="E21" s="107"/>
      <c r="F21" s="61"/>
      <c r="G21" s="61"/>
      <c r="H21" s="41"/>
      <c r="I21" s="123">
        <f>E21*D21</f>
        <v>0</v>
      </c>
      <c r="J21" s="162">
        <f t="shared" ref="J21:J22" si="2">I21*12</f>
        <v>0</v>
      </c>
      <c r="K21" s="298"/>
      <c r="M21" s="99"/>
      <c r="N21" s="5"/>
      <c r="O21" s="198"/>
      <c r="P21" s="200"/>
      <c r="Q21" s="201"/>
      <c r="R21" s="201"/>
      <c r="S21" s="201"/>
      <c r="T21" s="202"/>
      <c r="V21" s="54"/>
      <c r="X21" s="420" t="s">
        <v>169</v>
      </c>
      <c r="Y21" s="408"/>
      <c r="Z21" s="411"/>
      <c r="AA21" s="412"/>
      <c r="AB21" s="408"/>
      <c r="AC21" s="408"/>
      <c r="AD21" s="408"/>
      <c r="AE21" s="408"/>
      <c r="AF21" s="408"/>
      <c r="AG21" s="408"/>
      <c r="AH21" s="408"/>
    </row>
    <row r="22" spans="1:34" ht="18.5" x14ac:dyDescent="0.45">
      <c r="A22" s="158"/>
      <c r="B22" s="52" t="s">
        <v>170</v>
      </c>
      <c r="C22" s="87"/>
      <c r="D22" s="87"/>
      <c r="E22" s="61"/>
      <c r="F22" s="637"/>
      <c r="G22" s="637"/>
      <c r="H22" s="642">
        <f>IFERROR(F22/G22,0)</f>
        <v>0</v>
      </c>
      <c r="I22" s="123">
        <f t="shared" ref="I22" si="3">F22*D22</f>
        <v>0</v>
      </c>
      <c r="J22" s="162">
        <f t="shared" si="2"/>
        <v>0</v>
      </c>
      <c r="K22" s="298"/>
      <c r="M22" s="99"/>
      <c r="N22" s="5"/>
      <c r="O22" s="198"/>
      <c r="P22" s="185">
        <f>IF(H22=0,0,IF(H22&lt;=$P$10,D22,0))</f>
        <v>0</v>
      </c>
      <c r="Q22" s="185">
        <f>IF(H22=0,0,IF(AND(H22&lt;=$Q$12,H22&gt;=$Q$11),D22,0))</f>
        <v>0</v>
      </c>
      <c r="R22" s="185">
        <f>IF(H22=0,0,IF(AND(H22&lt;=$R$12,H22&gt;=$R$11),D22,0))</f>
        <v>0</v>
      </c>
      <c r="S22" s="185">
        <f>IF(H22=0,0,IF(AND(H22&lt;=$S$12,H22&gt;=$S$11),D22,0))</f>
        <v>0</v>
      </c>
      <c r="T22" s="203">
        <f>IF(H22=0,0,IF(H22&lt;$T$12,D22,0))</f>
        <v>0</v>
      </c>
      <c r="V22" s="54"/>
      <c r="X22" s="413" t="s">
        <v>171</v>
      </c>
      <c r="Y22" s="411">
        <f>V53</f>
        <v>0</v>
      </c>
      <c r="Z22" s="411"/>
      <c r="AA22" s="412"/>
      <c r="AB22" s="408"/>
      <c r="AC22" s="408"/>
      <c r="AD22" s="408"/>
      <c r="AE22" s="408"/>
      <c r="AF22" s="408"/>
      <c r="AG22" s="408"/>
      <c r="AH22" s="408"/>
    </row>
    <row r="23" spans="1:34" ht="18.5" x14ac:dyDescent="0.45">
      <c r="A23" s="158"/>
      <c r="B23" s="638" t="s">
        <v>172</v>
      </c>
      <c r="C23" s="87"/>
      <c r="D23" s="87"/>
      <c r="E23" s="61"/>
      <c r="F23" s="639">
        <v>0</v>
      </c>
      <c r="G23" s="640">
        <f>G24</f>
        <v>0</v>
      </c>
      <c r="H23" s="642">
        <v>0</v>
      </c>
      <c r="I23" s="123">
        <f>F23*D23</f>
        <v>0</v>
      </c>
      <c r="J23" s="162">
        <f t="shared" si="1"/>
        <v>0</v>
      </c>
      <c r="K23" s="298"/>
      <c r="M23" s="99"/>
      <c r="N23" s="5"/>
      <c r="O23" s="198"/>
      <c r="P23" s="185">
        <f>IF(AND(H23=0,D23&lt;&gt;0),IF(H23&lt;=$P$10,D23,0),0)</f>
        <v>0</v>
      </c>
      <c r="Q23" s="185">
        <f>IF(AND(H23=0,D23&lt;&gt;0),IF(AND(H23&lt;=$Q$12,H23&gt;=$Q$11),D23,0),0)</f>
        <v>0</v>
      </c>
      <c r="R23" s="185">
        <f>IF(AND(H23=0,D23&lt;&gt;0),IF(AND(H23&lt;=$R$12,H23&gt;=$R$11),D23,0),0)</f>
        <v>0</v>
      </c>
      <c r="S23" s="185">
        <f>IF(AND(H23=0,D23&lt;&gt;0),IF(AND(H23&lt;=$S$12,H23&gt;=$S$11),D23,0),0)</f>
        <v>0</v>
      </c>
      <c r="T23" s="203">
        <f>IF(AND(H23=0,D23&lt;&gt;0),IF(H23&lt;$T$12,D23,0),0)</f>
        <v>0</v>
      </c>
      <c r="V23" s="54"/>
      <c r="X23" s="413" t="s">
        <v>173</v>
      </c>
      <c r="Y23" s="421">
        <f>V54</f>
        <v>0</v>
      </c>
      <c r="Z23" s="417"/>
      <c r="AA23" s="418"/>
      <c r="AB23" s="408"/>
      <c r="AC23" s="408"/>
      <c r="AD23" s="408"/>
      <c r="AE23" s="408"/>
      <c r="AF23" s="408"/>
      <c r="AG23" s="408"/>
      <c r="AH23" s="408"/>
    </row>
    <row r="24" spans="1:34" ht="18.5" x14ac:dyDescent="0.45">
      <c r="A24" s="158"/>
      <c r="B24" s="638" t="s">
        <v>174</v>
      </c>
      <c r="C24" s="87"/>
      <c r="D24" s="87"/>
      <c r="E24" s="61"/>
      <c r="F24" s="637"/>
      <c r="G24" s="637"/>
      <c r="H24" s="642">
        <f>IFERROR(F24/G24,0)</f>
        <v>0</v>
      </c>
      <c r="I24" s="123">
        <f t="shared" ref="I24:I26" si="4">F24*D24</f>
        <v>0</v>
      </c>
      <c r="J24" s="162">
        <f t="shared" ref="J24:J26" si="5">I24*12</f>
        <v>0</v>
      </c>
      <c r="K24" s="298"/>
      <c r="M24" s="99"/>
      <c r="N24" s="5"/>
      <c r="O24" s="198"/>
      <c r="P24" s="185">
        <f>IF(H24=0,0,IF(H24&lt;=$P$10,D24,0))</f>
        <v>0</v>
      </c>
      <c r="Q24" s="185">
        <f>IF(H24=0,0,IF(AND(H24&lt;=$Q$12,H24&gt;=$Q$11),D24,0))</f>
        <v>0</v>
      </c>
      <c r="R24" s="185">
        <f>IF(H24=0,0,IF(AND(H24&lt;=$R$12,H24&gt;=$R$11),D24,0))</f>
        <v>0</v>
      </c>
      <c r="S24" s="185">
        <f>IF(H24=0,0,IF(AND(H24&lt;=$S$12,H24&gt;=$S$11),D24,0))</f>
        <v>0</v>
      </c>
      <c r="T24" s="203">
        <f>IF(H24=0,0,IF(H24&lt;$T$12,D24,0))</f>
        <v>0</v>
      </c>
      <c r="V24" s="54"/>
      <c r="X24" s="693">
        <f>IF(R_Units=0,0,IF(Y23&gt;=30%, "PASS", "FAIL"))</f>
        <v>0</v>
      </c>
      <c r="Y24" s="694"/>
      <c r="Z24" s="694"/>
      <c r="AA24" s="695"/>
      <c r="AB24" s="408"/>
      <c r="AC24" s="408"/>
      <c r="AD24" s="408"/>
      <c r="AE24" s="408"/>
      <c r="AF24" s="408"/>
      <c r="AG24" s="408"/>
      <c r="AH24" s="408"/>
    </row>
    <row r="25" spans="1:34" ht="18.5" x14ac:dyDescent="0.45">
      <c r="A25" s="158"/>
      <c r="B25" s="638" t="s">
        <v>175</v>
      </c>
      <c r="C25" s="87"/>
      <c r="D25" s="87"/>
      <c r="E25" s="235"/>
      <c r="F25" s="639">
        <v>0</v>
      </c>
      <c r="G25" s="641">
        <f>G26</f>
        <v>0</v>
      </c>
      <c r="H25" s="642">
        <v>0</v>
      </c>
      <c r="I25" s="123">
        <f t="shared" si="4"/>
        <v>0</v>
      </c>
      <c r="J25" s="162">
        <f t="shared" si="5"/>
        <v>0</v>
      </c>
      <c r="K25" s="299"/>
      <c r="L25" s="165"/>
      <c r="M25" s="99"/>
      <c r="N25" s="5"/>
      <c r="O25" s="198"/>
      <c r="P25" s="185">
        <f>IF(AND(H25=0,D25&lt;&gt;0),IF(H25&lt;=$P$10,D25,0),0)</f>
        <v>0</v>
      </c>
      <c r="Q25" s="185">
        <f>IF(AND(H25=0,D25&lt;&gt;0),IF(AND(H25&lt;=$Q$12,H25&gt;=$Q$11),D25,0),0)</f>
        <v>0</v>
      </c>
      <c r="R25" s="185">
        <f>IF(AND(H25=0,D25&lt;&gt;0),IF(AND(H25&lt;=$R$12,H25&gt;=$R$11),D25,0),0)</f>
        <v>0</v>
      </c>
      <c r="S25" s="185">
        <f>IF(AND(H25=0,D25&lt;&gt;0),IF(AND(H25&lt;=$S$12,H25&gt;=$S$11),D25,0),0)</f>
        <v>0</v>
      </c>
      <c r="T25" s="203">
        <f>IF(AND(H25=0,D25&lt;&gt;0),IF(H25&lt;$T$12,D25,0),0)</f>
        <v>0</v>
      </c>
      <c r="V25" s="54"/>
      <c r="X25" s="408"/>
      <c r="Y25" s="408"/>
      <c r="Z25" s="408"/>
      <c r="AA25" s="408"/>
      <c r="AB25" s="408"/>
      <c r="AC25" s="408"/>
      <c r="AD25" s="408"/>
      <c r="AE25" s="408"/>
      <c r="AF25" s="408"/>
      <c r="AG25" s="408"/>
      <c r="AH25" s="408"/>
    </row>
    <row r="26" spans="1:34" ht="18.5" x14ac:dyDescent="0.45">
      <c r="A26" s="158"/>
      <c r="B26" s="638" t="s">
        <v>176</v>
      </c>
      <c r="C26" s="87"/>
      <c r="D26" s="87"/>
      <c r="E26" s="61"/>
      <c r="F26" s="637"/>
      <c r="G26" s="637"/>
      <c r="H26" s="642">
        <f>IFERROR(F26/G26,0)</f>
        <v>0</v>
      </c>
      <c r="I26" s="123">
        <f t="shared" si="4"/>
        <v>0</v>
      </c>
      <c r="J26" s="162">
        <f t="shared" si="5"/>
        <v>0</v>
      </c>
      <c r="K26" s="298"/>
      <c r="L26" s="165"/>
      <c r="M26" s="99"/>
      <c r="N26" s="5"/>
      <c r="O26" s="198"/>
      <c r="P26" s="185">
        <f>IF(H26=0,0,IF(H26&lt;=$P$10,D26,0))</f>
        <v>0</v>
      </c>
      <c r="Q26" s="185">
        <f>IF(H26=0,0,IF(AND(H26&lt;=$Q$12,H26&gt;=$Q$11),D26,0))</f>
        <v>0</v>
      </c>
      <c r="R26" s="185">
        <f>IF(H26=0,0,IF(AND(H26&lt;=$R$12,H26&gt;=$R$11),D26,0))</f>
        <v>0</v>
      </c>
      <c r="S26" s="185">
        <f>IF(H26=0,0,IF(AND(H26&lt;=$S$12,H26&gt;=$S$11),D26,0))</f>
        <v>0</v>
      </c>
      <c r="T26" s="203">
        <f>IF(H26=0,0,IF(H26&lt;$T$12,D26,0))</f>
        <v>0</v>
      </c>
      <c r="V26" s="54"/>
      <c r="X26" s="645" t="s">
        <v>177</v>
      </c>
      <c r="Y26" s="646"/>
      <c r="Z26" s="646"/>
      <c r="AA26" s="647"/>
      <c r="AB26" s="408"/>
      <c r="AC26" s="408"/>
      <c r="AD26" s="408"/>
      <c r="AE26" s="408"/>
      <c r="AF26" s="408"/>
      <c r="AG26" s="408"/>
      <c r="AH26" s="408"/>
    </row>
    <row r="27" spans="1:34" ht="22" thickBot="1" x14ac:dyDescent="0.8">
      <c r="A27" s="158"/>
      <c r="B27" s="236" t="s">
        <v>178</v>
      </c>
      <c r="C27" s="170"/>
      <c r="D27" s="301"/>
      <c r="E27" s="170"/>
      <c r="F27" s="171"/>
      <c r="G27" s="170"/>
      <c r="H27" s="172"/>
      <c r="I27" s="171"/>
      <c r="J27" s="171"/>
      <c r="K27" s="302"/>
      <c r="L27" s="165"/>
      <c r="M27" s="99"/>
      <c r="N27" s="5"/>
      <c r="O27" s="198"/>
      <c r="P27" s="200"/>
      <c r="Q27" s="201"/>
      <c r="R27" s="201"/>
      <c r="S27" s="201"/>
      <c r="T27" s="202"/>
      <c r="V27" s="54"/>
      <c r="X27" s="420" t="s">
        <v>163</v>
      </c>
      <c r="Y27" s="411"/>
      <c r="Z27" s="411"/>
      <c r="AA27" s="412"/>
      <c r="AB27" s="408"/>
      <c r="AC27" s="408"/>
      <c r="AD27" s="408"/>
      <c r="AE27" s="408"/>
      <c r="AF27" s="408"/>
      <c r="AG27" s="408"/>
      <c r="AH27" s="408"/>
    </row>
    <row r="28" spans="1:34" ht="18.5" x14ac:dyDescent="0.45">
      <c r="A28" s="158"/>
      <c r="B28" s="424" t="s">
        <v>158</v>
      </c>
      <c r="C28" s="88"/>
      <c r="D28" s="88"/>
      <c r="E28" s="61"/>
      <c r="F28" s="107"/>
      <c r="G28" s="107"/>
      <c r="H28" s="343">
        <f>IFERROR(F28/G28,0)</f>
        <v>0</v>
      </c>
      <c r="I28" s="123">
        <f>F28*D28</f>
        <v>0</v>
      </c>
      <c r="J28" s="162">
        <f t="shared" ref="J28:J42" si="6">I28*12</f>
        <v>0</v>
      </c>
      <c r="K28" s="300"/>
      <c r="L28" s="165"/>
      <c r="M28" s="99"/>
      <c r="N28" s="5"/>
      <c r="O28" s="198"/>
      <c r="P28" s="185">
        <f t="shared" ref="P28:P42" si="7">IF(H28=0,0,IF(H28&lt;$P$10,D28,0))</f>
        <v>0</v>
      </c>
      <c r="Q28" s="185">
        <f>IF(H28=0,0,IF(AND(H28&lt;=$Q$12,H28&gt;=$Q$11),D28,0))</f>
        <v>0</v>
      </c>
      <c r="R28" s="185">
        <f>IF(H28=0,0,IF(AND(H28&lt;=$R$12,H28&gt;=$R$11),D28,0))</f>
        <v>0</v>
      </c>
      <c r="S28" s="185">
        <f>IF(H28=0,0,IF(AND(H28&lt;=$S$12,H28&gt;=$S$11),D28,0))</f>
        <v>0</v>
      </c>
      <c r="T28" s="203">
        <f>IF(H28=0,0,IF(H28&lt;$T$12,D28,0))</f>
        <v>0</v>
      </c>
      <c r="V28" s="54"/>
      <c r="X28" s="413" t="s">
        <v>179</v>
      </c>
      <c r="Y28" s="411"/>
      <c r="Z28" s="411"/>
      <c r="AA28" s="412"/>
      <c r="AB28" s="408"/>
      <c r="AC28" s="408"/>
      <c r="AD28" s="408"/>
      <c r="AE28" s="408"/>
      <c r="AF28" s="408"/>
      <c r="AG28" s="408"/>
      <c r="AH28" s="408"/>
    </row>
    <row r="29" spans="1:34" ht="21.5" x14ac:dyDescent="0.75">
      <c r="A29" s="158"/>
      <c r="B29" s="424" t="s">
        <v>158</v>
      </c>
      <c r="C29" s="88"/>
      <c r="D29" s="88"/>
      <c r="E29" s="61"/>
      <c r="F29" s="107"/>
      <c r="G29" s="107"/>
      <c r="H29" s="343">
        <f>IFERROR(F29/G29,0)</f>
        <v>0</v>
      </c>
      <c r="I29" s="123">
        <f>F29*D29</f>
        <v>0</v>
      </c>
      <c r="J29" s="162">
        <f t="shared" si="6"/>
        <v>0</v>
      </c>
      <c r="K29" s="300"/>
      <c r="L29" s="165"/>
      <c r="M29" s="99"/>
      <c r="N29" s="5"/>
      <c r="O29" s="198"/>
      <c r="P29" s="185">
        <f t="shared" si="7"/>
        <v>0</v>
      </c>
      <c r="Q29" s="185">
        <f>IF(H29=0,0,IF(AND(H29&lt;=$Q$12,H29&gt;=$Q$11),D29,0))</f>
        <v>0</v>
      </c>
      <c r="R29" s="185">
        <f>IF(H29=0,0,IF(AND(H29&lt;=$R$12,H29&gt;=$R$11),D29,0))</f>
        <v>0</v>
      </c>
      <c r="S29" s="185">
        <f>IF(H29=0,0,IF(AND(H29&lt;=$S$12,H29&gt;=$S$11),D29,0))</f>
        <v>0</v>
      </c>
      <c r="T29" s="203">
        <f>IF(H29=0,0,IF(H29&lt;$T$12,D29,0))</f>
        <v>0</v>
      </c>
      <c r="V29" s="54"/>
      <c r="X29" s="420" t="s">
        <v>409</v>
      </c>
      <c r="Y29" s="411"/>
      <c r="Z29" s="411"/>
      <c r="AA29" s="412"/>
      <c r="AB29" s="408"/>
      <c r="AC29" s="408"/>
      <c r="AD29" s="408"/>
      <c r="AE29" s="408"/>
      <c r="AF29" s="408"/>
      <c r="AG29" s="408"/>
      <c r="AH29" s="408"/>
    </row>
    <row r="30" spans="1:34" ht="18.5" x14ac:dyDescent="0.45">
      <c r="A30" s="158"/>
      <c r="B30" s="424" t="s">
        <v>158</v>
      </c>
      <c r="C30" s="88"/>
      <c r="D30" s="88"/>
      <c r="E30" s="61"/>
      <c r="F30" s="107"/>
      <c r="G30" s="107"/>
      <c r="H30" s="343">
        <f t="shared" ref="H30:H41" si="8">IFERROR(F30/G30,0)</f>
        <v>0</v>
      </c>
      <c r="I30" s="123">
        <f t="shared" ref="I30:I41" si="9">F30*D30</f>
        <v>0</v>
      </c>
      <c r="J30" s="162">
        <f t="shared" ref="J30:J40" si="10">I30*12</f>
        <v>0</v>
      </c>
      <c r="K30" s="300"/>
      <c r="L30" s="165"/>
      <c r="M30" s="99"/>
      <c r="N30" s="5"/>
      <c r="O30" s="198"/>
      <c r="P30" s="185">
        <f t="shared" si="7"/>
        <v>0</v>
      </c>
      <c r="Q30" s="185">
        <f t="shared" ref="Q30:Q41" si="11">IF(H30=0,0,IF(AND(H30&lt;=$Q$12,H30&gt;=$Q$11),D30,0))</f>
        <v>0</v>
      </c>
      <c r="R30" s="185">
        <f t="shared" ref="R30:R41" si="12">IF(H30=0,0,IF(AND(H30&lt;=$R$12,H30&gt;=$R$11),D30,0))</f>
        <v>0</v>
      </c>
      <c r="S30" s="185">
        <f t="shared" ref="S30:S41" si="13">IF(H30=0,0,IF(AND(H30&lt;=$S$12,H30&gt;=$S$11),D30,0))</f>
        <v>0</v>
      </c>
      <c r="T30" s="203">
        <f t="shared" ref="T30:T41" si="14">IF(H30=0,0,IF(H30&lt;$T$12,D30,0))</f>
        <v>0</v>
      </c>
      <c r="V30" s="54"/>
      <c r="X30" s="413" t="s">
        <v>450</v>
      </c>
      <c r="Y30" s="411"/>
      <c r="Z30" s="411"/>
      <c r="AA30" s="412"/>
      <c r="AB30" s="408"/>
      <c r="AC30" s="408"/>
      <c r="AD30" s="408"/>
      <c r="AE30" s="408"/>
      <c r="AF30" s="408"/>
      <c r="AG30" s="408"/>
      <c r="AH30" s="408"/>
    </row>
    <row r="31" spans="1:34" ht="21.5" x14ac:dyDescent="0.75">
      <c r="A31" s="158"/>
      <c r="B31" s="424" t="s">
        <v>158</v>
      </c>
      <c r="C31" s="88"/>
      <c r="D31" s="88"/>
      <c r="E31" s="61"/>
      <c r="F31" s="107"/>
      <c r="G31" s="107"/>
      <c r="H31" s="343">
        <f t="shared" si="8"/>
        <v>0</v>
      </c>
      <c r="I31" s="123">
        <f t="shared" si="9"/>
        <v>0</v>
      </c>
      <c r="J31" s="162">
        <f t="shared" si="10"/>
        <v>0</v>
      </c>
      <c r="K31" s="300"/>
      <c r="L31" s="165"/>
      <c r="M31" s="99"/>
      <c r="N31" s="5"/>
      <c r="O31" s="198"/>
      <c r="P31" s="185">
        <f t="shared" si="7"/>
        <v>0</v>
      </c>
      <c r="Q31" s="185">
        <f t="shared" si="11"/>
        <v>0</v>
      </c>
      <c r="R31" s="185">
        <f t="shared" si="12"/>
        <v>0</v>
      </c>
      <c r="S31" s="185">
        <f t="shared" si="13"/>
        <v>0</v>
      </c>
      <c r="T31" s="203">
        <f t="shared" si="14"/>
        <v>0</v>
      </c>
      <c r="V31" s="54"/>
      <c r="X31" s="420" t="s">
        <v>169</v>
      </c>
      <c r="Y31" s="408"/>
      <c r="Z31" s="411"/>
      <c r="AA31" s="412"/>
      <c r="AB31" s="408"/>
      <c r="AC31" s="408"/>
      <c r="AD31" s="408"/>
      <c r="AE31" s="408"/>
      <c r="AF31" s="408"/>
      <c r="AG31" s="408"/>
      <c r="AH31" s="408"/>
    </row>
    <row r="32" spans="1:34" ht="18.5" x14ac:dyDescent="0.45">
      <c r="A32" s="158"/>
      <c r="B32" s="424" t="s">
        <v>158</v>
      </c>
      <c r="C32" s="88"/>
      <c r="D32" s="88"/>
      <c r="E32" s="61"/>
      <c r="F32" s="107"/>
      <c r="G32" s="107"/>
      <c r="H32" s="343">
        <f t="shared" si="8"/>
        <v>0</v>
      </c>
      <c r="I32" s="123">
        <f t="shared" si="9"/>
        <v>0</v>
      </c>
      <c r="J32" s="162">
        <f t="shared" si="10"/>
        <v>0</v>
      </c>
      <c r="K32" s="300"/>
      <c r="L32" s="165"/>
      <c r="M32" s="99"/>
      <c r="N32" s="5"/>
      <c r="O32" s="198"/>
      <c r="P32" s="185">
        <f t="shared" si="7"/>
        <v>0</v>
      </c>
      <c r="Q32" s="185">
        <f t="shared" si="11"/>
        <v>0</v>
      </c>
      <c r="R32" s="185">
        <f t="shared" si="12"/>
        <v>0</v>
      </c>
      <c r="S32" s="185">
        <f t="shared" si="13"/>
        <v>0</v>
      </c>
      <c r="T32" s="203">
        <f t="shared" si="14"/>
        <v>0</v>
      </c>
      <c r="V32" s="54"/>
      <c r="X32" s="413" t="s">
        <v>180</v>
      </c>
      <c r="Y32" s="411">
        <f>IF(AND(OR(D23&lt;&gt;0,D25&lt;&gt;0),SUM(D23,D25)=R_Units),"Not Applicable",IF(Y22=0,0,SUMPRODUCT($P$13:$P$51,$G$13:$G$51)/Y22))</f>
        <v>0</v>
      </c>
      <c r="Z32" s="411"/>
      <c r="AA32" s="412"/>
      <c r="AB32" s="408"/>
      <c r="AC32" s="408"/>
      <c r="AD32" s="408"/>
      <c r="AE32" s="408"/>
      <c r="AF32" s="408"/>
      <c r="AG32" s="408"/>
      <c r="AH32" s="408"/>
    </row>
    <row r="33" spans="1:34" ht="18.5" x14ac:dyDescent="0.45">
      <c r="A33" s="158"/>
      <c r="B33" s="424" t="s">
        <v>160</v>
      </c>
      <c r="C33" s="88"/>
      <c r="D33" s="88"/>
      <c r="E33" s="61"/>
      <c r="F33" s="107"/>
      <c r="G33" s="107"/>
      <c r="H33" s="343">
        <f t="shared" si="8"/>
        <v>0</v>
      </c>
      <c r="I33" s="123">
        <f t="shared" si="9"/>
        <v>0</v>
      </c>
      <c r="J33" s="162">
        <f t="shared" si="10"/>
        <v>0</v>
      </c>
      <c r="K33" s="300"/>
      <c r="L33" s="165"/>
      <c r="M33" s="99"/>
      <c r="N33" s="5"/>
      <c r="O33" s="198"/>
      <c r="P33" s="185">
        <f t="shared" si="7"/>
        <v>0</v>
      </c>
      <c r="Q33" s="185">
        <f t="shared" si="11"/>
        <v>0</v>
      </c>
      <c r="R33" s="185">
        <f t="shared" si="12"/>
        <v>0</v>
      </c>
      <c r="S33" s="185">
        <f t="shared" si="13"/>
        <v>0</v>
      </c>
      <c r="T33" s="203">
        <f t="shared" si="14"/>
        <v>0</v>
      </c>
      <c r="V33" s="54"/>
      <c r="X33" s="413" t="s">
        <v>181</v>
      </c>
      <c r="Y33" s="411">
        <f>IF(AND(OR(D23&lt;&gt;0,D25&lt;&gt;0),SUM(D23,D25)=R_Units),"Not Applicable",IF($Y$22=0,0,SUMPRODUCT(P13:P51,F13:F51)/$Y$22))</f>
        <v>0</v>
      </c>
      <c r="Z33" s="411"/>
      <c r="AA33" s="412"/>
      <c r="AB33" s="408"/>
      <c r="AC33" s="408"/>
      <c r="AD33" s="408"/>
      <c r="AE33" s="408"/>
      <c r="AF33" s="408"/>
      <c r="AG33" s="408"/>
      <c r="AH33" s="408"/>
    </row>
    <row r="34" spans="1:34" ht="18.5" x14ac:dyDescent="0.45">
      <c r="A34" s="158"/>
      <c r="B34" s="424" t="s">
        <v>160</v>
      </c>
      <c r="C34" s="88"/>
      <c r="D34" s="88"/>
      <c r="E34" s="61"/>
      <c r="F34" s="107"/>
      <c r="G34" s="107"/>
      <c r="H34" s="343">
        <f t="shared" si="8"/>
        <v>0</v>
      </c>
      <c r="I34" s="123">
        <f t="shared" si="9"/>
        <v>0</v>
      </c>
      <c r="J34" s="162">
        <f t="shared" si="10"/>
        <v>0</v>
      </c>
      <c r="K34" s="300"/>
      <c r="L34" s="165"/>
      <c r="M34" s="99"/>
      <c r="N34" s="5"/>
      <c r="O34" s="198"/>
      <c r="P34" s="185">
        <f t="shared" si="7"/>
        <v>0</v>
      </c>
      <c r="Q34" s="185">
        <f t="shared" si="11"/>
        <v>0</v>
      </c>
      <c r="R34" s="185">
        <f t="shared" si="12"/>
        <v>0</v>
      </c>
      <c r="S34" s="185">
        <f t="shared" si="13"/>
        <v>0</v>
      </c>
      <c r="T34" s="203">
        <f t="shared" si="14"/>
        <v>0</v>
      </c>
      <c r="V34" s="54"/>
      <c r="X34" s="422" t="s">
        <v>182</v>
      </c>
      <c r="Y34" s="421">
        <f>IF(AND(OR(D23&lt;&gt;0,D25&lt;&gt;0),SUM(D23,D25)=R_Units), 100%,IF($Y$22=0,0,Y33/Y32))</f>
        <v>0</v>
      </c>
      <c r="Z34" s="417"/>
      <c r="AA34" s="418"/>
      <c r="AB34" s="408"/>
      <c r="AC34" s="408"/>
      <c r="AD34" s="408"/>
      <c r="AE34" s="408"/>
      <c r="AF34" s="408"/>
      <c r="AG34" s="408"/>
      <c r="AH34" s="408"/>
    </row>
    <row r="35" spans="1:34" ht="18.5" x14ac:dyDescent="0.45">
      <c r="A35" s="158"/>
      <c r="B35" s="424" t="s">
        <v>160</v>
      </c>
      <c r="C35" s="88"/>
      <c r="D35" s="88"/>
      <c r="E35" s="61"/>
      <c r="F35" s="107"/>
      <c r="G35" s="107"/>
      <c r="H35" s="343">
        <f t="shared" si="8"/>
        <v>0</v>
      </c>
      <c r="I35" s="123">
        <f t="shared" si="9"/>
        <v>0</v>
      </c>
      <c r="J35" s="162">
        <f t="shared" si="10"/>
        <v>0</v>
      </c>
      <c r="K35" s="300"/>
      <c r="L35" s="165"/>
      <c r="M35" s="99"/>
      <c r="N35" s="5"/>
      <c r="O35" s="198"/>
      <c r="P35" s="185">
        <f t="shared" si="7"/>
        <v>0</v>
      </c>
      <c r="Q35" s="185">
        <f t="shared" si="11"/>
        <v>0</v>
      </c>
      <c r="R35" s="185">
        <f t="shared" si="12"/>
        <v>0</v>
      </c>
      <c r="S35" s="185">
        <f t="shared" si="13"/>
        <v>0</v>
      </c>
      <c r="T35" s="203">
        <f t="shared" si="14"/>
        <v>0</v>
      </c>
      <c r="V35" s="54"/>
      <c r="X35" s="693">
        <f>IF(R_Units=0,0,IF(AND(OR(D23&lt;&gt;0,D25&lt;&gt;0),SUM(D23,D25)=R_Units),"PASS",IF(Y22=0,"Fail",IF(Y34&lt;=79.99%,"PASS","FAIL"))))</f>
        <v>0</v>
      </c>
      <c r="Y35" s="694"/>
      <c r="Z35" s="694"/>
      <c r="AA35" s="695"/>
      <c r="AB35" s="408"/>
      <c r="AC35" s="408"/>
      <c r="AD35" s="408"/>
      <c r="AE35" s="408"/>
      <c r="AF35" s="408"/>
      <c r="AG35" s="408"/>
      <c r="AH35" s="408"/>
    </row>
    <row r="36" spans="1:34" ht="18.5" x14ac:dyDescent="0.45">
      <c r="A36" s="158"/>
      <c r="B36" s="424" t="s">
        <v>160</v>
      </c>
      <c r="C36" s="88"/>
      <c r="D36" s="88"/>
      <c r="E36" s="61"/>
      <c r="F36" s="107"/>
      <c r="G36" s="107"/>
      <c r="H36" s="343">
        <f t="shared" si="8"/>
        <v>0</v>
      </c>
      <c r="I36" s="123">
        <f t="shared" si="9"/>
        <v>0</v>
      </c>
      <c r="J36" s="162">
        <f t="shared" si="10"/>
        <v>0</v>
      </c>
      <c r="K36" s="300"/>
      <c r="L36" s="165"/>
      <c r="M36" s="99"/>
      <c r="N36" s="5"/>
      <c r="O36" s="198"/>
      <c r="P36" s="185">
        <f t="shared" si="7"/>
        <v>0</v>
      </c>
      <c r="Q36" s="185">
        <f t="shared" si="11"/>
        <v>0</v>
      </c>
      <c r="R36" s="185">
        <f t="shared" si="12"/>
        <v>0</v>
      </c>
      <c r="S36" s="185">
        <f t="shared" si="13"/>
        <v>0</v>
      </c>
      <c r="T36" s="203">
        <f t="shared" si="14"/>
        <v>0</v>
      </c>
      <c r="V36" s="54"/>
      <c r="AB36" s="408"/>
      <c r="AC36" s="408"/>
      <c r="AD36" s="408"/>
      <c r="AE36" s="408"/>
      <c r="AF36" s="408"/>
      <c r="AG36" s="408"/>
      <c r="AH36" s="408"/>
    </row>
    <row r="37" spans="1:34" ht="18.5" x14ac:dyDescent="0.45">
      <c r="A37" s="158"/>
      <c r="B37" s="424" t="s">
        <v>164</v>
      </c>
      <c r="C37" s="88"/>
      <c r="D37" s="88"/>
      <c r="E37" s="61"/>
      <c r="F37" s="107"/>
      <c r="G37" s="107"/>
      <c r="H37" s="343">
        <f t="shared" si="8"/>
        <v>0</v>
      </c>
      <c r="I37" s="123">
        <f t="shared" si="9"/>
        <v>0</v>
      </c>
      <c r="J37" s="162">
        <f t="shared" si="10"/>
        <v>0</v>
      </c>
      <c r="K37" s="300"/>
      <c r="L37" s="165"/>
      <c r="M37" s="99"/>
      <c r="N37" s="5"/>
      <c r="O37" s="198"/>
      <c r="P37" s="185">
        <f t="shared" si="7"/>
        <v>0</v>
      </c>
      <c r="Q37" s="185">
        <f t="shared" si="11"/>
        <v>0</v>
      </c>
      <c r="R37" s="185">
        <f t="shared" si="12"/>
        <v>0</v>
      </c>
      <c r="S37" s="185">
        <f t="shared" si="13"/>
        <v>0</v>
      </c>
      <c r="T37" s="203">
        <f t="shared" si="14"/>
        <v>0</v>
      </c>
      <c r="V37" s="54"/>
      <c r="X37" s="405" t="s">
        <v>183</v>
      </c>
      <c r="Y37" s="408"/>
      <c r="Z37" s="408"/>
      <c r="AA37" s="408"/>
      <c r="AB37" s="408"/>
      <c r="AC37" s="408"/>
      <c r="AD37" s="408"/>
      <c r="AE37" s="408"/>
      <c r="AF37" s="408"/>
      <c r="AG37" s="408"/>
      <c r="AH37" s="408"/>
    </row>
    <row r="38" spans="1:34" ht="21.5" x14ac:dyDescent="0.75">
      <c r="A38" s="158"/>
      <c r="B38" s="424" t="s">
        <v>164</v>
      </c>
      <c r="C38" s="88"/>
      <c r="D38" s="88"/>
      <c r="E38" s="61"/>
      <c r="F38" s="107"/>
      <c r="G38" s="107"/>
      <c r="H38" s="343">
        <f t="shared" si="8"/>
        <v>0</v>
      </c>
      <c r="I38" s="123">
        <f t="shared" si="9"/>
        <v>0</v>
      </c>
      <c r="J38" s="162">
        <f t="shared" si="10"/>
        <v>0</v>
      </c>
      <c r="K38" s="300"/>
      <c r="L38" s="165"/>
      <c r="M38" s="99"/>
      <c r="N38" s="5"/>
      <c r="O38" s="198"/>
      <c r="P38" s="185">
        <f t="shared" si="7"/>
        <v>0</v>
      </c>
      <c r="Q38" s="185">
        <f t="shared" si="11"/>
        <v>0</v>
      </c>
      <c r="R38" s="185">
        <f t="shared" si="12"/>
        <v>0</v>
      </c>
      <c r="S38" s="185">
        <f t="shared" si="13"/>
        <v>0</v>
      </c>
      <c r="T38" s="203">
        <f t="shared" si="14"/>
        <v>0</v>
      </c>
      <c r="V38" s="54"/>
      <c r="X38" s="423"/>
      <c r="Y38" s="411"/>
      <c r="Z38" s="411"/>
      <c r="AA38" s="411"/>
      <c r="AB38" s="408"/>
      <c r="AC38" s="408"/>
      <c r="AD38" s="408"/>
      <c r="AE38" s="408"/>
      <c r="AF38" s="408"/>
      <c r="AG38" s="408"/>
      <c r="AH38" s="408"/>
    </row>
    <row r="39" spans="1:34" ht="21.5" x14ac:dyDescent="0.75">
      <c r="A39" s="158"/>
      <c r="B39" s="424" t="s">
        <v>164</v>
      </c>
      <c r="C39" s="88"/>
      <c r="D39" s="88"/>
      <c r="E39" s="61"/>
      <c r="F39" s="107"/>
      <c r="G39" s="107"/>
      <c r="H39" s="343">
        <f t="shared" si="8"/>
        <v>0</v>
      </c>
      <c r="I39" s="123">
        <f t="shared" si="9"/>
        <v>0</v>
      </c>
      <c r="J39" s="162">
        <f t="shared" si="10"/>
        <v>0</v>
      </c>
      <c r="K39" s="300"/>
      <c r="L39" s="165"/>
      <c r="M39" s="99"/>
      <c r="N39" s="5"/>
      <c r="O39" s="198"/>
      <c r="P39" s="185">
        <f t="shared" si="7"/>
        <v>0</v>
      </c>
      <c r="Q39" s="185">
        <f t="shared" si="11"/>
        <v>0</v>
      </c>
      <c r="R39" s="185">
        <f t="shared" si="12"/>
        <v>0</v>
      </c>
      <c r="S39" s="185">
        <f t="shared" si="13"/>
        <v>0</v>
      </c>
      <c r="T39" s="203">
        <f t="shared" si="14"/>
        <v>0</v>
      </c>
      <c r="V39" s="54"/>
      <c r="X39" s="423"/>
      <c r="Y39" s="411"/>
      <c r="Z39" s="411"/>
      <c r="AA39" s="411"/>
      <c r="AB39" s="408"/>
      <c r="AC39" s="408"/>
      <c r="AD39" s="408"/>
      <c r="AE39" s="408"/>
      <c r="AF39" s="408"/>
      <c r="AG39" s="408"/>
      <c r="AH39" s="408"/>
    </row>
    <row r="40" spans="1:34" ht="21.5" x14ac:dyDescent="0.75">
      <c r="A40" s="158"/>
      <c r="B40" s="424" t="s">
        <v>167</v>
      </c>
      <c r="C40" s="88"/>
      <c r="D40" s="88"/>
      <c r="E40" s="61"/>
      <c r="F40" s="107"/>
      <c r="G40" s="107"/>
      <c r="H40" s="343">
        <f t="shared" si="8"/>
        <v>0</v>
      </c>
      <c r="I40" s="123">
        <f t="shared" si="9"/>
        <v>0</v>
      </c>
      <c r="J40" s="162">
        <f t="shared" si="10"/>
        <v>0</v>
      </c>
      <c r="K40" s="300"/>
      <c r="L40" s="165"/>
      <c r="M40" s="99"/>
      <c r="N40" s="5"/>
      <c r="O40" s="198"/>
      <c r="P40" s="185">
        <f t="shared" si="7"/>
        <v>0</v>
      </c>
      <c r="Q40" s="185">
        <f t="shared" si="11"/>
        <v>0</v>
      </c>
      <c r="R40" s="185">
        <f t="shared" si="12"/>
        <v>0</v>
      </c>
      <c r="S40" s="185">
        <f t="shared" si="13"/>
        <v>0</v>
      </c>
      <c r="T40" s="203">
        <f t="shared" si="14"/>
        <v>0</v>
      </c>
      <c r="V40" s="54"/>
      <c r="X40" s="423"/>
      <c r="Y40" s="411"/>
      <c r="Z40" s="411"/>
      <c r="AA40" s="411"/>
      <c r="AB40" s="408"/>
      <c r="AC40" s="408"/>
      <c r="AD40" s="408"/>
      <c r="AE40" s="408"/>
      <c r="AF40" s="408"/>
      <c r="AG40" s="408"/>
      <c r="AH40" s="408"/>
    </row>
    <row r="41" spans="1:34" ht="21.5" x14ac:dyDescent="0.75">
      <c r="A41" s="158"/>
      <c r="B41" s="424" t="s">
        <v>167</v>
      </c>
      <c r="C41" s="88"/>
      <c r="D41" s="88"/>
      <c r="E41" s="61"/>
      <c r="F41" s="107"/>
      <c r="G41" s="107"/>
      <c r="H41" s="343">
        <f t="shared" si="8"/>
        <v>0</v>
      </c>
      <c r="I41" s="123">
        <f t="shared" si="9"/>
        <v>0</v>
      </c>
      <c r="J41" s="162">
        <f>I41*12</f>
        <v>0</v>
      </c>
      <c r="K41" s="300"/>
      <c r="L41" s="165"/>
      <c r="M41" s="99"/>
      <c r="N41" s="5"/>
      <c r="O41" s="198"/>
      <c r="P41" s="185">
        <f t="shared" si="7"/>
        <v>0</v>
      </c>
      <c r="Q41" s="185">
        <f t="shared" si="11"/>
        <v>0</v>
      </c>
      <c r="R41" s="185">
        <f t="shared" si="12"/>
        <v>0</v>
      </c>
      <c r="S41" s="185">
        <f t="shared" si="13"/>
        <v>0</v>
      </c>
      <c r="T41" s="203">
        <f t="shared" si="14"/>
        <v>0</v>
      </c>
      <c r="V41" s="54"/>
      <c r="X41" s="423"/>
      <c r="Y41" s="411"/>
      <c r="Z41" s="411"/>
      <c r="AA41" s="411"/>
      <c r="AB41" s="408"/>
      <c r="AC41" s="408"/>
      <c r="AD41" s="408"/>
      <c r="AE41" s="408"/>
      <c r="AF41" s="408"/>
      <c r="AG41" s="408"/>
      <c r="AH41" s="408"/>
    </row>
    <row r="42" spans="1:34" ht="19" thickBot="1" x14ac:dyDescent="0.5">
      <c r="A42" s="158"/>
      <c r="B42" s="424" t="s">
        <v>167</v>
      </c>
      <c r="C42" s="88"/>
      <c r="D42" s="88"/>
      <c r="E42" s="61"/>
      <c r="F42" s="107"/>
      <c r="G42" s="107"/>
      <c r="H42" s="343">
        <f>IFERROR(F42/G42,0)</f>
        <v>0</v>
      </c>
      <c r="I42" s="123">
        <f>F42*D42</f>
        <v>0</v>
      </c>
      <c r="J42" s="162">
        <f t="shared" si="6"/>
        <v>0</v>
      </c>
      <c r="K42" s="300"/>
      <c r="L42" s="165"/>
      <c r="M42" s="99"/>
      <c r="N42" s="5"/>
      <c r="O42" s="198"/>
      <c r="P42" s="185">
        <f t="shared" si="7"/>
        <v>0</v>
      </c>
      <c r="Q42" s="185">
        <f>IF(H42=0,0,IF(AND(H42&lt;=$Q$12,H42&gt;=$Q$11),D42,0))</f>
        <v>0</v>
      </c>
      <c r="R42" s="185">
        <f>IF(H42=0,0,IF(AND(H42&lt;=$R$12,H42&gt;=$R$11),D42,0))</f>
        <v>0</v>
      </c>
      <c r="S42" s="185">
        <f>IF(H42=0,0,IF(AND(H42&lt;=$S$12,H42&gt;=$S$11),D42,0))</f>
        <v>0</v>
      </c>
      <c r="T42" s="203">
        <f>IF(H42=0,0,IF(H42&lt;$T$12,D42,0))</f>
        <v>0</v>
      </c>
      <c r="V42" s="54"/>
      <c r="X42" s="6"/>
      <c r="Y42" s="6"/>
      <c r="Z42" s="6"/>
      <c r="AA42" s="6"/>
      <c r="AB42" s="408"/>
      <c r="AC42" s="408"/>
      <c r="AD42" s="408"/>
      <c r="AE42" s="408"/>
      <c r="AF42" s="408"/>
      <c r="AG42" s="408"/>
      <c r="AH42" s="408"/>
    </row>
    <row r="43" spans="1:34" ht="19" thickBot="1" x14ac:dyDescent="0.5">
      <c r="A43" s="158"/>
      <c r="B43" s="216" t="s">
        <v>184</v>
      </c>
      <c r="C43" s="303"/>
      <c r="D43" s="301"/>
      <c r="E43" s="170"/>
      <c r="F43" s="171"/>
      <c r="G43" s="171"/>
      <c r="H43" s="172"/>
      <c r="I43" s="171"/>
      <c r="J43" s="171"/>
      <c r="K43" s="302"/>
      <c r="L43" s="165"/>
      <c r="M43" s="99"/>
      <c r="N43" s="5"/>
      <c r="O43" s="198"/>
      <c r="P43" s="200"/>
      <c r="Q43" s="201"/>
      <c r="R43" s="201"/>
      <c r="S43" s="201"/>
      <c r="T43" s="202"/>
      <c r="V43" s="54"/>
      <c r="AB43" s="408"/>
      <c r="AC43" s="408"/>
      <c r="AD43" s="408"/>
      <c r="AE43" s="408"/>
      <c r="AF43" s="408"/>
      <c r="AG43" s="408"/>
      <c r="AH43" s="408"/>
    </row>
    <row r="44" spans="1:34" ht="18.5" x14ac:dyDescent="0.45">
      <c r="A44" s="158"/>
      <c r="B44" s="425" t="s">
        <v>157</v>
      </c>
      <c r="C44" s="87"/>
      <c r="D44" s="87"/>
      <c r="E44" s="87"/>
      <c r="F44" s="61"/>
      <c r="G44" s="61"/>
      <c r="H44" s="41"/>
      <c r="I44" s="123">
        <f>E44*D44</f>
        <v>0</v>
      </c>
      <c r="J44" s="162">
        <f>I44*12</f>
        <v>0</v>
      </c>
      <c r="K44" s="300"/>
      <c r="L44" s="165"/>
      <c r="M44" s="99"/>
      <c r="N44" s="5"/>
      <c r="O44" s="198"/>
      <c r="P44" s="200"/>
      <c r="Q44" s="201"/>
      <c r="R44" s="201"/>
      <c r="S44" s="201"/>
      <c r="T44" s="202"/>
      <c r="V44" s="54"/>
      <c r="AB44" s="408"/>
      <c r="AC44" s="408"/>
      <c r="AD44" s="408"/>
      <c r="AE44" s="408"/>
      <c r="AF44" s="408"/>
      <c r="AG44" s="408"/>
      <c r="AH44" s="408"/>
    </row>
    <row r="45" spans="1:34" ht="18.5" x14ac:dyDescent="0.45">
      <c r="A45" s="158"/>
      <c r="B45" s="425" t="s">
        <v>157</v>
      </c>
      <c r="C45" s="87"/>
      <c r="D45" s="87"/>
      <c r="E45" s="87"/>
      <c r="F45" s="61"/>
      <c r="G45" s="61"/>
      <c r="H45" s="41"/>
      <c r="I45" s="123">
        <f t="shared" ref="I45:I49" si="15">E45*D45</f>
        <v>0</v>
      </c>
      <c r="J45" s="162">
        <f t="shared" ref="J45:J49" si="16">I45*12</f>
        <v>0</v>
      </c>
      <c r="K45" s="300"/>
      <c r="L45" s="165"/>
      <c r="M45" s="99"/>
      <c r="N45" s="5"/>
      <c r="O45" s="198"/>
      <c r="P45" s="200"/>
      <c r="Q45" s="201"/>
      <c r="R45" s="201"/>
      <c r="S45" s="201"/>
      <c r="T45" s="202"/>
      <c r="V45" s="54"/>
      <c r="AB45" s="408"/>
      <c r="AC45" s="408"/>
      <c r="AD45" s="408"/>
      <c r="AE45" s="408"/>
      <c r="AF45" s="408"/>
      <c r="AG45" s="408"/>
      <c r="AH45" s="408"/>
    </row>
    <row r="46" spans="1:34" ht="18.5" x14ac:dyDescent="0.45">
      <c r="A46" s="158"/>
      <c r="B46" s="425" t="s">
        <v>159</v>
      </c>
      <c r="C46" s="87"/>
      <c r="D46" s="87"/>
      <c r="E46" s="87"/>
      <c r="F46" s="61"/>
      <c r="G46" s="61"/>
      <c r="H46" s="41"/>
      <c r="I46" s="123">
        <f t="shared" si="15"/>
        <v>0</v>
      </c>
      <c r="J46" s="162">
        <f t="shared" si="16"/>
        <v>0</v>
      </c>
      <c r="K46" s="300"/>
      <c r="L46" s="165"/>
      <c r="M46" s="99"/>
      <c r="N46" s="5"/>
      <c r="O46" s="198"/>
      <c r="P46" s="200"/>
      <c r="Q46" s="201"/>
      <c r="R46" s="201"/>
      <c r="S46" s="201"/>
      <c r="T46" s="202"/>
      <c r="V46" s="54"/>
      <c r="AB46" s="408"/>
      <c r="AC46" s="408"/>
      <c r="AD46" s="408"/>
      <c r="AE46" s="408"/>
      <c r="AF46" s="408"/>
      <c r="AG46" s="408"/>
      <c r="AH46" s="408"/>
    </row>
    <row r="47" spans="1:34" ht="18.5" x14ac:dyDescent="0.45">
      <c r="A47" s="158"/>
      <c r="B47" s="425" t="s">
        <v>159</v>
      </c>
      <c r="C47" s="87"/>
      <c r="D47" s="87"/>
      <c r="E47" s="87"/>
      <c r="F47" s="61"/>
      <c r="G47" s="61"/>
      <c r="H47" s="41"/>
      <c r="I47" s="123">
        <f t="shared" si="15"/>
        <v>0</v>
      </c>
      <c r="J47" s="162">
        <f t="shared" si="16"/>
        <v>0</v>
      </c>
      <c r="K47" s="300"/>
      <c r="L47" s="165"/>
      <c r="M47" s="99"/>
      <c r="N47" s="5"/>
      <c r="O47" s="198"/>
      <c r="P47" s="200"/>
      <c r="Q47" s="201"/>
      <c r="R47" s="201"/>
      <c r="S47" s="201"/>
      <c r="T47" s="202"/>
      <c r="V47" s="54"/>
      <c r="AB47" s="408"/>
      <c r="AC47" s="408"/>
      <c r="AD47" s="408"/>
      <c r="AE47" s="408"/>
      <c r="AF47" s="408"/>
      <c r="AG47" s="408"/>
      <c r="AH47" s="408"/>
    </row>
    <row r="48" spans="1:34" ht="18.5" x14ac:dyDescent="0.45">
      <c r="A48" s="158"/>
      <c r="B48" s="425" t="s">
        <v>162</v>
      </c>
      <c r="C48" s="87"/>
      <c r="D48" s="87"/>
      <c r="E48" s="87"/>
      <c r="F48" s="61"/>
      <c r="G48" s="61"/>
      <c r="H48" s="41"/>
      <c r="I48" s="123">
        <f t="shared" si="15"/>
        <v>0</v>
      </c>
      <c r="J48" s="162">
        <f t="shared" si="16"/>
        <v>0</v>
      </c>
      <c r="K48" s="300"/>
      <c r="L48" s="165"/>
      <c r="M48" s="99"/>
      <c r="N48" s="5"/>
      <c r="O48" s="198"/>
      <c r="P48" s="200"/>
      <c r="Q48" s="201"/>
      <c r="R48" s="201"/>
      <c r="S48" s="201"/>
      <c r="T48" s="202"/>
      <c r="V48" s="54"/>
      <c r="AB48" s="408"/>
      <c r="AC48" s="408"/>
      <c r="AD48" s="408"/>
      <c r="AE48" s="408"/>
      <c r="AF48" s="408"/>
      <c r="AG48" s="408"/>
      <c r="AH48" s="408"/>
    </row>
    <row r="49" spans="1:34" ht="18.5" x14ac:dyDescent="0.45">
      <c r="A49" s="158"/>
      <c r="B49" s="425" t="s">
        <v>162</v>
      </c>
      <c r="C49" s="87"/>
      <c r="D49" s="87"/>
      <c r="E49" s="87"/>
      <c r="F49" s="61"/>
      <c r="G49" s="61"/>
      <c r="H49" s="41"/>
      <c r="I49" s="123">
        <f t="shared" si="15"/>
        <v>0</v>
      </c>
      <c r="J49" s="162">
        <f t="shared" si="16"/>
        <v>0</v>
      </c>
      <c r="K49" s="300"/>
      <c r="L49" s="165"/>
      <c r="M49" s="99"/>
      <c r="N49" s="5"/>
      <c r="O49" s="198"/>
      <c r="P49" s="200"/>
      <c r="Q49" s="201"/>
      <c r="R49" s="201"/>
      <c r="S49" s="201"/>
      <c r="T49" s="202"/>
      <c r="V49" s="54"/>
      <c r="AB49" s="408"/>
      <c r="AC49" s="408"/>
      <c r="AD49" s="408"/>
      <c r="AE49" s="408"/>
      <c r="AF49" s="408"/>
      <c r="AG49" s="408"/>
      <c r="AH49" s="408"/>
    </row>
    <row r="50" spans="1:34" ht="18.5" x14ac:dyDescent="0.45">
      <c r="A50" s="158"/>
      <c r="B50" s="425" t="s">
        <v>166</v>
      </c>
      <c r="C50" s="87"/>
      <c r="D50" s="87"/>
      <c r="E50" s="87"/>
      <c r="F50" s="61"/>
      <c r="G50" s="61"/>
      <c r="H50" s="41"/>
      <c r="I50" s="123">
        <f t="shared" ref="I50:I51" si="17">E50*D50</f>
        <v>0</v>
      </c>
      <c r="J50" s="162">
        <f t="shared" ref="J50:J51" si="18">I50*12</f>
        <v>0</v>
      </c>
      <c r="K50" s="300"/>
      <c r="L50" s="165"/>
      <c r="M50" s="99"/>
      <c r="N50" s="5"/>
      <c r="O50" s="198"/>
      <c r="P50" s="200"/>
      <c r="Q50" s="201"/>
      <c r="R50" s="201"/>
      <c r="S50" s="201"/>
      <c r="T50" s="202"/>
      <c r="V50" s="54"/>
      <c r="AB50" s="408"/>
      <c r="AC50" s="408"/>
      <c r="AD50" s="408"/>
      <c r="AE50" s="408"/>
      <c r="AF50" s="408"/>
      <c r="AG50" s="408"/>
      <c r="AH50" s="408"/>
    </row>
    <row r="51" spans="1:34" ht="19" thickBot="1" x14ac:dyDescent="0.5">
      <c r="A51" s="158"/>
      <c r="B51" s="425" t="s">
        <v>166</v>
      </c>
      <c r="C51" s="87"/>
      <c r="D51" s="87"/>
      <c r="E51" s="87"/>
      <c r="F51" s="61"/>
      <c r="G51" s="61"/>
      <c r="H51" s="41"/>
      <c r="I51" s="123">
        <f t="shared" si="17"/>
        <v>0</v>
      </c>
      <c r="J51" s="162">
        <f t="shared" si="18"/>
        <v>0</v>
      </c>
      <c r="K51" s="300"/>
      <c r="L51" s="165"/>
      <c r="M51" s="99"/>
      <c r="N51" s="5"/>
      <c r="O51" s="198"/>
      <c r="P51" s="200"/>
      <c r="Q51" s="201"/>
      <c r="R51" s="201"/>
      <c r="S51" s="201"/>
      <c r="T51" s="202"/>
      <c r="V51" s="54"/>
      <c r="AB51" s="408"/>
      <c r="AC51" s="408"/>
      <c r="AD51" s="408"/>
      <c r="AE51" s="408"/>
      <c r="AF51" s="408"/>
      <c r="AG51" s="408"/>
      <c r="AH51" s="408"/>
    </row>
    <row r="52" spans="1:34" ht="19" thickBot="1" x14ac:dyDescent="0.5">
      <c r="A52" s="158"/>
      <c r="B52" s="83" t="s">
        <v>185</v>
      </c>
      <c r="C52" s="102">
        <f>SUMPRODUCT(C13:C26,D13:D26)+SUMPRODUCT(C28:C42,D28:D42)+SUMPRODUCT(C44:C51,D44:D51)</f>
        <v>0</v>
      </c>
      <c r="D52"/>
      <c r="E52"/>
      <c r="F52"/>
      <c r="G52"/>
      <c r="H52"/>
      <c r="I52"/>
      <c r="J52" s="124">
        <f>SUM(J13:J51)</f>
        <v>0</v>
      </c>
      <c r="L52" s="165"/>
      <c r="M52" s="99"/>
      <c r="N52" s="5"/>
      <c r="O52" s="198"/>
      <c r="P52" s="200"/>
      <c r="Q52" s="201"/>
      <c r="R52" s="201"/>
      <c r="S52" s="201"/>
      <c r="T52" s="202"/>
      <c r="V52" s="212" t="s">
        <v>186</v>
      </c>
      <c r="AB52" s="408"/>
      <c r="AC52" s="408"/>
      <c r="AD52" s="408"/>
      <c r="AE52" s="408"/>
      <c r="AF52" s="408"/>
      <c r="AG52" s="408"/>
      <c r="AH52" s="408"/>
    </row>
    <row r="53" spans="1:34" ht="19" thickBot="1" x14ac:dyDescent="0.5">
      <c r="A53" s="158"/>
      <c r="B53" s="55" t="s">
        <v>187</v>
      </c>
      <c r="C53" s="6"/>
      <c r="D53" s="101">
        <f>SUM(D13:D26,D28:D42,D44:D51)</f>
        <v>0</v>
      </c>
      <c r="E53" s="6"/>
      <c r="F53" s="6"/>
      <c r="G53" s="6"/>
      <c r="H53" s="18"/>
      <c r="I53" s="11"/>
      <c r="M53" s="99"/>
      <c r="N53" s="5"/>
      <c r="O53" s="204"/>
      <c r="P53" s="30">
        <f>IF(R_Units=0, 0,SUM(P14:P52)/R_Units)</f>
        <v>0</v>
      </c>
      <c r="Q53" s="30">
        <f>IF(R_Units=0, 0,SUM(Q14:Q52)/R_Units)</f>
        <v>0</v>
      </c>
      <c r="R53" s="30">
        <f>IF(R_Units=0, 0,SUM(R14:R52)/R_Units)</f>
        <v>0</v>
      </c>
      <c r="S53" s="30">
        <f>IF(R_Units=0, 0,SUM(S14:S52)/R_Units)</f>
        <v>0</v>
      </c>
      <c r="T53" s="205">
        <f>IF(R_Units=0, 0,SUM(T14:T52)/R_Units)</f>
        <v>0</v>
      </c>
      <c r="V53" s="177">
        <f>SUM(P13:P52)</f>
        <v>0</v>
      </c>
      <c r="AB53" s="408"/>
      <c r="AC53" s="408"/>
      <c r="AD53" s="408"/>
      <c r="AE53" s="408"/>
      <c r="AF53" s="408"/>
      <c r="AG53" s="408"/>
      <c r="AH53" s="408"/>
    </row>
    <row r="54" spans="1:34" ht="19" thickBot="1" x14ac:dyDescent="0.5">
      <c r="A54" s="158"/>
      <c r="C54" s="6"/>
      <c r="D54" s="27"/>
      <c r="E54" s="6"/>
      <c r="F54" s="6"/>
      <c r="G54" s="6"/>
      <c r="H54" s="18"/>
      <c r="I54" s="11"/>
      <c r="L54" s="165"/>
      <c r="M54" s="99"/>
      <c r="N54" s="5"/>
      <c r="O54"/>
      <c r="P54" s="167"/>
      <c r="Q54" s="167"/>
      <c r="R54" s="167"/>
      <c r="S54" s="167"/>
      <c r="T54" s="167"/>
      <c r="V54" s="213">
        <f>IF(R_Units=0,0,V53/R_Units)</f>
        <v>0</v>
      </c>
      <c r="AB54" s="408"/>
      <c r="AC54" s="408"/>
      <c r="AD54" s="408"/>
      <c r="AE54" s="408"/>
      <c r="AF54" s="408"/>
      <c r="AG54" s="408"/>
      <c r="AH54" s="408"/>
    </row>
    <row r="55" spans="1:34" ht="22.9" customHeight="1" x14ac:dyDescent="0.35">
      <c r="A55" s="158"/>
      <c r="B55" s="158"/>
      <c r="C55" s="158"/>
      <c r="D55" s="158"/>
      <c r="E55" s="158"/>
      <c r="F55" s="158"/>
      <c r="G55" s="158"/>
      <c r="H55" s="158"/>
      <c r="I55" s="158"/>
      <c r="J55" s="158"/>
      <c r="K55" s="158"/>
      <c r="L55" s="158"/>
      <c r="M55" s="158"/>
      <c r="N55" s="5"/>
      <c r="O55"/>
      <c r="P55" s="167"/>
      <c r="Q55" s="167"/>
      <c r="R55" s="167"/>
      <c r="S55" s="167"/>
      <c r="T55" s="167"/>
      <c r="V55" s="54"/>
    </row>
    <row r="56" spans="1:34" x14ac:dyDescent="0.35">
      <c r="A56" s="165"/>
      <c r="B56" s="4"/>
      <c r="C56" s="4"/>
      <c r="D56" s="4"/>
      <c r="E56" s="4"/>
      <c r="F56" s="4"/>
      <c r="G56" s="4"/>
      <c r="H56" s="4"/>
      <c r="I56" s="4"/>
      <c r="J56" s="4"/>
      <c r="L56" s="165"/>
      <c r="M56" s="5"/>
      <c r="N56" s="5"/>
      <c r="O56"/>
      <c r="P56"/>
      <c r="Q56"/>
      <c r="R56"/>
      <c r="S56"/>
      <c r="T56"/>
      <c r="V56" s="176"/>
      <c r="X56" s="4"/>
      <c r="Y56" s="4"/>
      <c r="Z56" s="4"/>
    </row>
    <row r="57" spans="1:34" hidden="1" x14ac:dyDescent="0.35">
      <c r="A57" s="165"/>
      <c r="M57" s="5"/>
    </row>
    <row r="58" spans="1:34" hidden="1" x14ac:dyDescent="0.35">
      <c r="A58" s="42"/>
      <c r="B58" s="42"/>
      <c r="C58" s="4"/>
      <c r="M58" s="5"/>
    </row>
    <row r="59" spans="1:34" hidden="1" x14ac:dyDescent="0.35">
      <c r="A59" s="42"/>
      <c r="B59" s="42"/>
      <c r="C59" s="4"/>
      <c r="M59" s="5"/>
    </row>
    <row r="60" spans="1:34" hidden="1" x14ac:dyDescent="0.35">
      <c r="M60" s="5"/>
    </row>
    <row r="61" spans="1:34" hidden="1" x14ac:dyDescent="0.35">
      <c r="M61" s="5"/>
    </row>
    <row r="62" spans="1:34" hidden="1" x14ac:dyDescent="0.35">
      <c r="A62" s="46"/>
      <c r="B62" s="46"/>
      <c r="M62" s="5"/>
    </row>
    <row r="63" spans="1:34" hidden="1" x14ac:dyDescent="0.35">
      <c r="A63" s="46"/>
      <c r="B63" s="46"/>
      <c r="M63" s="5"/>
    </row>
    <row r="64" spans="1:34" hidden="1" x14ac:dyDescent="0.35">
      <c r="M64" s="5"/>
    </row>
    <row r="65" spans="1:13" hidden="1" x14ac:dyDescent="0.35">
      <c r="M65" s="5"/>
    </row>
    <row r="66" spans="1:13" x14ac:dyDescent="0.35">
      <c r="A66" s="4"/>
      <c r="M66" s="5"/>
    </row>
    <row r="67" spans="1:13" x14ac:dyDescent="0.35">
      <c r="A67" s="4"/>
      <c r="M67" s="5"/>
    </row>
    <row r="68" spans="1:13" x14ac:dyDescent="0.35">
      <c r="M68" s="5"/>
    </row>
    <row r="69" spans="1:13" x14ac:dyDescent="0.35">
      <c r="M69" s="4"/>
    </row>
    <row r="70" spans="1:13" x14ac:dyDescent="0.35">
      <c r="M70" s="4"/>
    </row>
    <row r="71" spans="1:13" x14ac:dyDescent="0.35">
      <c r="M71" s="4"/>
    </row>
    <row r="72" spans="1:13" x14ac:dyDescent="0.35">
      <c r="M72" s="4"/>
    </row>
    <row r="73" spans="1:13" x14ac:dyDescent="0.35">
      <c r="M73" s="4"/>
    </row>
    <row r="74" spans="1:13" x14ac:dyDescent="0.35">
      <c r="A74" s="4"/>
      <c r="M74" s="4"/>
    </row>
    <row r="75" spans="1:13" x14ac:dyDescent="0.35">
      <c r="A75" s="4"/>
      <c r="M75" s="4"/>
    </row>
    <row r="76" spans="1:13" x14ac:dyDescent="0.35">
      <c r="A76" s="4"/>
    </row>
    <row r="78" spans="1:13" x14ac:dyDescent="0.35">
      <c r="A78"/>
    </row>
    <row r="79" spans="1:13" x14ac:dyDescent="0.35">
      <c r="A79"/>
    </row>
    <row r="80" spans="1:13" x14ac:dyDescent="0.35">
      <c r="A80" s="4"/>
    </row>
    <row r="81" spans="1:1" x14ac:dyDescent="0.35">
      <c r="A81" s="4"/>
    </row>
    <row r="82" spans="1:1" x14ac:dyDescent="0.35">
      <c r="A82" s="4"/>
    </row>
    <row r="83" spans="1:1" x14ac:dyDescent="0.35">
      <c r="A83" s="4"/>
    </row>
    <row r="84" spans="1:1" x14ac:dyDescent="0.35">
      <c r="A84" s="4"/>
    </row>
    <row r="85" spans="1:1" x14ac:dyDescent="0.35">
      <c r="A85" s="4"/>
    </row>
    <row r="86" spans="1:1" x14ac:dyDescent="0.35">
      <c r="A86" s="4"/>
    </row>
    <row r="87" spans="1:1" x14ac:dyDescent="0.35">
      <c r="A87" s="4"/>
    </row>
    <row r="88" spans="1:1" x14ac:dyDescent="0.35">
      <c r="A88" s="4"/>
    </row>
    <row r="89" spans="1:1" x14ac:dyDescent="0.35">
      <c r="A89" s="4"/>
    </row>
  </sheetData>
  <sheetProtection algorithmName="SHA-512" hashValue="pMbXCRVMF/0omxOBZoKSdrkDJ4LrxZuPrr7uTZtPQWdcY/k/9dWZx4UpULPVpvPyh0/lnRuQ5FfLWZP0bQTH8g==" saltValue="Cv1Qk8vGOJ2Y07/7wnTJLQ==" spinCount="100000" sheet="1" objects="1" scenarios="1"/>
  <mergeCells count="6">
    <mergeCell ref="X24:AA24"/>
    <mergeCell ref="X26:AA26"/>
    <mergeCell ref="X35:AA35"/>
    <mergeCell ref="A2:M2"/>
    <mergeCell ref="X4:AH4"/>
    <mergeCell ref="X16:AA16"/>
  </mergeCells>
  <conditionalFormatting sqref="X24">
    <cfRule type="containsText" dxfId="42" priority="3" operator="containsText" text="Pass">
      <formula>NOT(ISERROR(SEARCH("Pass",X24)))</formula>
    </cfRule>
    <cfRule type="containsText" dxfId="41" priority="4" operator="containsText" text="FAIL">
      <formula>NOT(ISERROR(SEARCH("FAIL",X24)))</formula>
    </cfRule>
  </conditionalFormatting>
  <conditionalFormatting sqref="X35">
    <cfRule type="containsText" dxfId="40" priority="1" operator="containsText" text="Pass">
      <formula>NOT(ISERROR(SEARCH("Pass",X35)))</formula>
    </cfRule>
    <cfRule type="containsText" dxfId="39" priority="2" operator="containsText" text="FAIL">
      <formula>NOT(ISERROR(SEARCH("FAIL",X35)))</formula>
    </cfRule>
  </conditionalFormatting>
  <hyperlinks>
    <hyperlink ref="X5" r:id="rId1" location="Profile/1/1/Canada" xr:uid="{00000000-0004-0000-0200-000000000000}"/>
  </hyperlinks>
  <pageMargins left="0.31496062992125984" right="0.31496062992125984" top="0.51181102362204722" bottom="0.82677165354330717" header="0.31496062992125984" footer="0.31496062992125984"/>
  <pageSetup scale="10" fitToHeight="0" orientation="portrait" r:id="rId2"/>
  <headerFooter>
    <oddFooter>Page &amp;P of &amp;N</oddFooter>
  </headerFooter>
  <ignoredErrors>
    <ignoredError sqref="I15 I17 I19"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052" r:id="rId5" name="Button 4">
              <controlPr defaultSize="0" print="0" autoFill="0" autoPict="0" macro="[0]!NextPage">
                <anchor moveWithCells="1" sizeWithCells="1">
                  <from>
                    <xdr:col>1</xdr:col>
                    <xdr:colOff>1289050</xdr:colOff>
                    <xdr:row>57</xdr:row>
                    <xdr:rowOff>31750</xdr:rowOff>
                  </from>
                  <to>
                    <xdr:col>1</xdr:col>
                    <xdr:colOff>2241550</xdr:colOff>
                    <xdr:row>58</xdr:row>
                    <xdr:rowOff>184150</xdr:rowOff>
                  </to>
                </anchor>
              </controlPr>
            </control>
          </mc:Choice>
        </mc:AlternateContent>
        <mc:AlternateContent xmlns:mc="http://schemas.openxmlformats.org/markup-compatibility/2006">
          <mc:Choice Requires="x14">
            <control shapeId="2053" r:id="rId6" name="Button 5">
              <controlPr defaultSize="0" print="0" autoFill="0" autoPict="0" macro="[0]!Reset_Page_RA">
                <anchor moveWithCells="1" sizeWithCells="1">
                  <from>
                    <xdr:col>1</xdr:col>
                    <xdr:colOff>38100</xdr:colOff>
                    <xdr:row>61</xdr:row>
                    <xdr:rowOff>31750</xdr:rowOff>
                  </from>
                  <to>
                    <xdr:col>1</xdr:col>
                    <xdr:colOff>990600</xdr:colOff>
                    <xdr:row>62</xdr:row>
                    <xdr:rowOff>184150</xdr:rowOff>
                  </to>
                </anchor>
              </controlPr>
            </control>
          </mc:Choice>
        </mc:AlternateContent>
        <mc:AlternateContent xmlns:mc="http://schemas.openxmlformats.org/markup-compatibility/2006">
          <mc:Choice Requires="x14">
            <control shapeId="2054" r:id="rId7" name="Button 6">
              <controlPr defaultSize="0" print="0" autoFill="0" autoPict="0" macro="[0]!Reset_Page_All">
                <anchor moveWithCells="1" sizeWithCells="1">
                  <from>
                    <xdr:col>1</xdr:col>
                    <xdr:colOff>1276350</xdr:colOff>
                    <xdr:row>61</xdr:row>
                    <xdr:rowOff>31750</xdr:rowOff>
                  </from>
                  <to>
                    <xdr:col>1</xdr:col>
                    <xdr:colOff>2228850</xdr:colOff>
                    <xdr:row>62</xdr:row>
                    <xdr:rowOff>184150</xdr:rowOff>
                  </to>
                </anchor>
              </controlPr>
            </control>
          </mc:Choice>
        </mc:AlternateContent>
        <mc:AlternateContent xmlns:mc="http://schemas.openxmlformats.org/markup-compatibility/2006">
          <mc:Choice Requires="x14">
            <control shapeId="2061" r:id="rId8" name="Button 13">
              <controlPr defaultSize="0" print="0" autoFill="0" autoPict="0" macro="[0]!PrevPage">
                <anchor moveWithCells="1" sizeWithCells="1">
                  <from>
                    <xdr:col>1</xdr:col>
                    <xdr:colOff>38100</xdr:colOff>
                    <xdr:row>57</xdr:row>
                    <xdr:rowOff>31750</xdr:rowOff>
                  </from>
                  <to>
                    <xdr:col>1</xdr:col>
                    <xdr:colOff>1009650</xdr:colOff>
                    <xdr:row>58</xdr:row>
                    <xdr:rowOff>184150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AC96"/>
  <sheetViews>
    <sheetView showGridLines="0" topLeftCell="A18" zoomScale="70" zoomScaleNormal="70" workbookViewId="0">
      <selection activeCell="E12" sqref="E12"/>
    </sheetView>
  </sheetViews>
  <sheetFormatPr defaultColWidth="9.1796875" defaultRowHeight="14.5" x14ac:dyDescent="0.35"/>
  <cols>
    <col min="1" max="1" width="2.7265625" customWidth="1"/>
    <col min="2" max="2" width="51.1796875" customWidth="1"/>
    <col min="3" max="3" width="15.1796875" customWidth="1"/>
    <col min="4" max="4" width="17.1796875" customWidth="1"/>
    <col min="5" max="5" width="29" customWidth="1"/>
    <col min="6" max="6" width="18.7265625" customWidth="1"/>
    <col min="7" max="7" width="1.7265625" customWidth="1"/>
    <col min="8" max="8" width="18.7265625" customWidth="1"/>
    <col min="9" max="9" width="21" customWidth="1"/>
    <col min="10" max="10" width="18.7265625" customWidth="1"/>
    <col min="11" max="11" width="1.1796875" customWidth="1"/>
    <col min="12" max="12" width="34" customWidth="1"/>
    <col min="13" max="13" width="2.7265625" customWidth="1"/>
    <col min="18" max="18" width="9.1796875" customWidth="1"/>
    <col min="20" max="20" width="14.26953125" customWidth="1"/>
    <col min="21" max="21" width="13.81640625" customWidth="1"/>
    <col min="22" max="22" width="15.54296875" customWidth="1"/>
    <col min="23" max="23" width="34.453125" customWidth="1"/>
    <col min="28" max="28" width="9.1796875" customWidth="1"/>
  </cols>
  <sheetData>
    <row r="1" spans="1:29" s="62" customFormat="1" ht="13" x14ac:dyDescent="0.3">
      <c r="A1" s="89" t="s">
        <v>10</v>
      </c>
      <c r="B1" s="90"/>
      <c r="C1" s="90"/>
      <c r="D1" s="90"/>
      <c r="E1" s="90"/>
      <c r="M1" s="491"/>
    </row>
    <row r="2" spans="1:29" ht="26" x14ac:dyDescent="0.6">
      <c r="A2" s="728" t="s">
        <v>188</v>
      </c>
      <c r="B2" s="729"/>
      <c r="C2" s="729"/>
      <c r="D2" s="729"/>
      <c r="E2" s="729"/>
      <c r="F2" s="729"/>
      <c r="G2" s="729"/>
      <c r="H2" s="729"/>
      <c r="I2" s="729"/>
      <c r="J2" s="729"/>
      <c r="K2" s="729"/>
      <c r="L2" s="729"/>
      <c r="M2" s="492"/>
      <c r="N2" s="258"/>
      <c r="O2" s="404" t="s">
        <v>11</v>
      </c>
      <c r="P2" s="414"/>
      <c r="Q2" s="414"/>
      <c r="R2" s="414"/>
      <c r="S2" s="414"/>
      <c r="T2" s="414"/>
      <c r="U2" s="414"/>
      <c r="V2" s="414"/>
      <c r="W2" s="414"/>
      <c r="X2" s="414"/>
      <c r="Y2" s="414"/>
      <c r="Z2" s="414"/>
      <c r="AA2" s="62"/>
      <c r="AB2" s="62"/>
      <c r="AC2" s="62"/>
    </row>
    <row r="3" spans="1:29" ht="23.5" x14ac:dyDescent="0.45">
      <c r="A3" s="493"/>
      <c r="B3" s="309"/>
      <c r="C3" s="309"/>
      <c r="D3" s="309"/>
      <c r="E3" s="309"/>
      <c r="F3" s="309"/>
      <c r="G3" s="309"/>
      <c r="H3" s="309"/>
      <c r="I3" s="309"/>
      <c r="J3" s="309"/>
      <c r="K3" s="309"/>
      <c r="L3" s="309"/>
      <c r="M3" s="494"/>
      <c r="N3" s="258"/>
      <c r="O3" s="405" t="s">
        <v>406</v>
      </c>
      <c r="P3" s="414"/>
      <c r="Q3" s="414"/>
      <c r="R3" s="414"/>
      <c r="S3" s="414"/>
      <c r="T3" s="414"/>
      <c r="U3" s="414"/>
      <c r="V3" s="414"/>
      <c r="W3" s="414"/>
      <c r="X3" s="414"/>
      <c r="Y3" s="414"/>
      <c r="Z3" s="414"/>
    </row>
    <row r="4" spans="1:29" ht="29.25" customHeight="1" x14ac:dyDescent="0.45">
      <c r="A4" s="495"/>
      <c r="B4" s="218" t="s">
        <v>189</v>
      </c>
      <c r="G4" s="5"/>
      <c r="H4" s="496" t="s">
        <v>190</v>
      </c>
      <c r="I4" s="497" t="s">
        <v>191</v>
      </c>
      <c r="J4" s="496" t="s">
        <v>192</v>
      </c>
      <c r="M4" s="498"/>
      <c r="O4" s="405" t="s">
        <v>407</v>
      </c>
      <c r="P4" s="414"/>
      <c r="Q4" s="414"/>
      <c r="R4" s="414"/>
      <c r="S4" s="414"/>
      <c r="T4" s="414"/>
      <c r="U4" s="414"/>
      <c r="V4" s="414"/>
      <c r="W4" s="414"/>
      <c r="X4" s="414"/>
      <c r="Y4" s="414"/>
      <c r="Z4" s="414"/>
    </row>
    <row r="5" spans="1:29" ht="18.5" x14ac:dyDescent="0.45">
      <c r="A5" s="495"/>
      <c r="B5" s="450" t="s">
        <v>193</v>
      </c>
      <c r="C5" s="63"/>
      <c r="D5" s="68"/>
      <c r="E5" s="507">
        <f>J5</f>
        <v>0</v>
      </c>
      <c r="F5" s="63"/>
      <c r="G5" s="64"/>
      <c r="H5" s="87"/>
      <c r="I5" s="108"/>
      <c r="J5" s="71">
        <f>H5+I5</f>
        <v>0</v>
      </c>
      <c r="M5" s="498"/>
      <c r="O5" s="414"/>
      <c r="P5" s="414"/>
      <c r="Q5" s="414"/>
      <c r="R5" s="414"/>
      <c r="S5" s="414"/>
      <c r="T5" s="414"/>
      <c r="U5" s="414"/>
      <c r="V5" s="414"/>
      <c r="W5" s="414"/>
      <c r="X5" s="414"/>
      <c r="Y5" s="414"/>
      <c r="Z5" s="414"/>
    </row>
    <row r="6" spans="1:29" ht="18.5" x14ac:dyDescent="0.45">
      <c r="A6" s="495"/>
      <c r="B6" s="66" t="s">
        <v>194</v>
      </c>
      <c r="D6" s="69"/>
      <c r="E6" s="508">
        <f>IF(J5=0,0,J6)</f>
        <v>0</v>
      </c>
      <c r="F6" s="72"/>
      <c r="G6" s="73"/>
      <c r="H6" s="344">
        <f>IF(J5=0,0,H5/J5)</f>
        <v>0</v>
      </c>
      <c r="I6" s="345">
        <f>IF(J5=0,0,I5/J5)</f>
        <v>0</v>
      </c>
      <c r="J6" s="74">
        <f>SUM(H6:I6)</f>
        <v>0</v>
      </c>
      <c r="M6" s="498"/>
      <c r="O6" s="645" t="s">
        <v>195</v>
      </c>
      <c r="P6" s="646"/>
      <c r="Q6" s="646"/>
      <c r="R6" s="646"/>
      <c r="S6" s="646"/>
      <c r="T6" s="646"/>
      <c r="U6" s="646"/>
      <c r="V6" s="647"/>
      <c r="W6" s="414"/>
      <c r="X6" s="414"/>
      <c r="Y6" s="414"/>
      <c r="Z6" s="414"/>
    </row>
    <row r="7" spans="1:29" ht="18.5" x14ac:dyDescent="0.45">
      <c r="A7" s="495"/>
      <c r="B7" s="67" t="s">
        <v>196</v>
      </c>
      <c r="C7" s="65"/>
      <c r="D7" s="70"/>
      <c r="E7" s="103">
        <f>'Rents &amp; Affordability'!D53</f>
        <v>0</v>
      </c>
      <c r="G7" s="5"/>
      <c r="M7" s="498"/>
      <c r="O7" s="426"/>
      <c r="P7" s="427" t="s">
        <v>197</v>
      </c>
      <c r="Q7" s="414"/>
      <c r="R7" s="414"/>
      <c r="S7" s="414"/>
      <c r="T7" s="427" t="s">
        <v>198</v>
      </c>
      <c r="U7" s="414"/>
      <c r="V7" s="428"/>
      <c r="W7" s="414"/>
      <c r="X7" s="414"/>
      <c r="Y7" s="414"/>
      <c r="Z7" s="414"/>
    </row>
    <row r="8" spans="1:29" ht="18.5" x14ac:dyDescent="0.45">
      <c r="A8" s="495"/>
      <c r="B8" s="499"/>
      <c r="M8" s="498"/>
      <c r="O8" s="429" t="s">
        <v>6</v>
      </c>
      <c r="P8" s="414" t="s">
        <v>199</v>
      </c>
      <c r="Q8" s="414"/>
      <c r="R8" s="414"/>
      <c r="S8" s="430" t="s">
        <v>200</v>
      </c>
      <c r="T8" s="414" t="s">
        <v>201</v>
      </c>
      <c r="U8" s="414"/>
      <c r="V8" s="428"/>
      <c r="W8" s="414"/>
      <c r="X8" s="414"/>
      <c r="Y8" s="414"/>
      <c r="Z8" s="414"/>
    </row>
    <row r="9" spans="1:29" ht="18.5" x14ac:dyDescent="0.45">
      <c r="A9" s="495"/>
      <c r="B9" s="75" t="s">
        <v>202</v>
      </c>
      <c r="C9" s="75"/>
      <c r="D9" s="75"/>
      <c r="E9" s="76" t="s">
        <v>203</v>
      </c>
      <c r="F9" s="77" t="s">
        <v>204</v>
      </c>
      <c r="G9" s="100"/>
      <c r="H9" s="739" t="s">
        <v>205</v>
      </c>
      <c r="I9" s="739"/>
      <c r="J9" s="739"/>
      <c r="K9" s="65"/>
      <c r="L9" s="184" t="s">
        <v>154</v>
      </c>
      <c r="M9" s="498"/>
      <c r="O9" s="429" t="s">
        <v>6</v>
      </c>
      <c r="P9" s="414" t="s">
        <v>206</v>
      </c>
      <c r="Q9" s="414"/>
      <c r="R9" s="414"/>
      <c r="S9" s="430" t="s">
        <v>200</v>
      </c>
      <c r="T9" s="414" t="s">
        <v>207</v>
      </c>
      <c r="U9" s="414"/>
      <c r="V9" s="428"/>
      <c r="W9" s="414"/>
      <c r="X9" s="414"/>
      <c r="Y9" s="414"/>
      <c r="Z9" s="414"/>
    </row>
    <row r="10" spans="1:29" ht="18.5" x14ac:dyDescent="0.45">
      <c r="A10" s="495"/>
      <c r="B10" s="500" t="s">
        <v>208</v>
      </c>
      <c r="C10" s="6"/>
      <c r="D10" s="6"/>
      <c r="E10" s="109"/>
      <c r="F10" s="501">
        <f>IF($E$7=0,0,E10/$E$7)</f>
        <v>0</v>
      </c>
      <c r="G10" s="99"/>
      <c r="H10" s="110">
        <f t="shared" ref="H10:H19" si="0">E10*H$6</f>
        <v>0</v>
      </c>
      <c r="I10" s="110">
        <f t="shared" ref="I10:I19" si="1">E10*I$6</f>
        <v>0</v>
      </c>
      <c r="J10" s="502">
        <f t="shared" ref="J10:J20" si="2">SUM(H10:I10)</f>
        <v>0</v>
      </c>
      <c r="L10" s="304"/>
      <c r="M10" s="498"/>
      <c r="O10" s="429" t="s">
        <v>6</v>
      </c>
      <c r="P10" s="414" t="s">
        <v>209</v>
      </c>
      <c r="Q10" s="414"/>
      <c r="R10" s="414"/>
      <c r="S10" s="430" t="s">
        <v>200</v>
      </c>
      <c r="T10" s="414" t="s">
        <v>210</v>
      </c>
      <c r="U10" s="414"/>
      <c r="V10" s="428"/>
      <c r="W10" s="414"/>
      <c r="X10" s="414"/>
      <c r="Y10" s="414"/>
      <c r="Z10" s="414"/>
    </row>
    <row r="11" spans="1:29" ht="18.5" x14ac:dyDescent="0.45">
      <c r="A11" s="495"/>
      <c r="B11" s="500" t="s">
        <v>211</v>
      </c>
      <c r="C11" s="6"/>
      <c r="D11" s="6"/>
      <c r="E11" s="109"/>
      <c r="F11" s="501">
        <f t="shared" ref="F11:F20" si="3">IF($E$7=0,0,E11/$E$7)</f>
        <v>0</v>
      </c>
      <c r="G11" s="99"/>
      <c r="H11" s="110">
        <f>E11*H$6</f>
        <v>0</v>
      </c>
      <c r="I11" s="110">
        <f t="shared" si="1"/>
        <v>0</v>
      </c>
      <c r="J11" s="502">
        <f t="shared" si="2"/>
        <v>0</v>
      </c>
      <c r="L11" s="304"/>
      <c r="M11" s="498"/>
      <c r="O11" s="429" t="s">
        <v>6</v>
      </c>
      <c r="P11" s="414" t="s">
        <v>212</v>
      </c>
      <c r="Q11" s="414"/>
      <c r="R11" s="414"/>
      <c r="S11" s="430" t="s">
        <v>200</v>
      </c>
      <c r="T11" s="414" t="s">
        <v>213</v>
      </c>
      <c r="U11" s="414"/>
      <c r="V11" s="428"/>
      <c r="W11" s="414"/>
      <c r="X11" s="414"/>
      <c r="Y11" s="414"/>
      <c r="Z11" s="414"/>
    </row>
    <row r="12" spans="1:29" ht="18.5" x14ac:dyDescent="0.45">
      <c r="A12" s="495"/>
      <c r="B12" s="500" t="s">
        <v>214</v>
      </c>
      <c r="C12" s="6"/>
      <c r="D12" s="6"/>
      <c r="E12" s="109"/>
      <c r="F12" s="501">
        <f t="shared" si="3"/>
        <v>0</v>
      </c>
      <c r="G12" s="99"/>
      <c r="H12" s="110">
        <f t="shared" si="0"/>
        <v>0</v>
      </c>
      <c r="I12" s="110">
        <f t="shared" si="1"/>
        <v>0</v>
      </c>
      <c r="J12" s="502">
        <f t="shared" si="2"/>
        <v>0</v>
      </c>
      <c r="L12" s="304"/>
      <c r="M12" s="498"/>
      <c r="O12" s="429" t="s">
        <v>6</v>
      </c>
      <c r="P12" s="414" t="s">
        <v>215</v>
      </c>
      <c r="Q12" s="414"/>
      <c r="R12" s="414"/>
      <c r="S12" s="430" t="s">
        <v>200</v>
      </c>
      <c r="T12" s="414" t="s">
        <v>216</v>
      </c>
      <c r="U12" s="414"/>
      <c r="V12" s="428"/>
      <c r="W12" s="414"/>
      <c r="X12" s="414"/>
      <c r="Y12" s="414"/>
      <c r="Z12" s="414"/>
    </row>
    <row r="13" spans="1:29" ht="18.5" x14ac:dyDescent="0.45">
      <c r="A13" s="495"/>
      <c r="B13" s="500" t="s">
        <v>217</v>
      </c>
      <c r="C13" s="6"/>
      <c r="D13" s="6"/>
      <c r="E13" s="109"/>
      <c r="F13" s="501">
        <f t="shared" si="3"/>
        <v>0</v>
      </c>
      <c r="G13" s="99"/>
      <c r="H13" s="110">
        <f t="shared" si="0"/>
        <v>0</v>
      </c>
      <c r="I13" s="110">
        <f t="shared" si="1"/>
        <v>0</v>
      </c>
      <c r="J13" s="502">
        <f t="shared" si="2"/>
        <v>0</v>
      </c>
      <c r="L13" s="304"/>
      <c r="M13" s="498"/>
      <c r="O13" s="429" t="s">
        <v>6</v>
      </c>
      <c r="P13" s="414" t="s">
        <v>218</v>
      </c>
      <c r="Q13" s="414"/>
      <c r="R13" s="414"/>
      <c r="S13" s="431"/>
      <c r="T13" s="414"/>
      <c r="U13" s="414"/>
      <c r="V13" s="428"/>
      <c r="W13" s="414"/>
      <c r="X13" s="414"/>
      <c r="Y13" s="414"/>
      <c r="Z13" s="414"/>
    </row>
    <row r="14" spans="1:29" ht="18.5" x14ac:dyDescent="0.45">
      <c r="A14" s="495"/>
      <c r="B14" s="500" t="s">
        <v>219</v>
      </c>
      <c r="C14" s="6"/>
      <c r="D14" s="6"/>
      <c r="E14" s="109"/>
      <c r="F14" s="501">
        <f t="shared" si="3"/>
        <v>0</v>
      </c>
      <c r="G14" s="99"/>
      <c r="H14" s="110">
        <f t="shared" si="0"/>
        <v>0</v>
      </c>
      <c r="I14" s="110">
        <f t="shared" si="1"/>
        <v>0</v>
      </c>
      <c r="J14" s="502">
        <f t="shared" si="2"/>
        <v>0</v>
      </c>
      <c r="L14" s="304"/>
      <c r="M14" s="498"/>
      <c r="O14" s="429" t="s">
        <v>6</v>
      </c>
      <c r="P14" s="414" t="s">
        <v>220</v>
      </c>
      <c r="Q14" s="414"/>
      <c r="R14" s="414"/>
      <c r="S14" s="431"/>
      <c r="T14" s="414"/>
      <c r="U14" s="414"/>
      <c r="V14" s="428"/>
      <c r="W14" s="414"/>
      <c r="X14" s="414"/>
      <c r="Y14" s="414"/>
      <c r="Z14" s="414"/>
    </row>
    <row r="15" spans="1:29" ht="18.5" x14ac:dyDescent="0.45">
      <c r="A15" s="495"/>
      <c r="B15" s="500" t="s">
        <v>221</v>
      </c>
      <c r="C15" s="6"/>
      <c r="D15" s="6"/>
      <c r="E15" s="109"/>
      <c r="F15" s="501">
        <f t="shared" si="3"/>
        <v>0</v>
      </c>
      <c r="G15" s="99"/>
      <c r="H15" s="110">
        <f t="shared" si="0"/>
        <v>0</v>
      </c>
      <c r="I15" s="110">
        <f t="shared" si="1"/>
        <v>0</v>
      </c>
      <c r="J15" s="502">
        <f t="shared" si="2"/>
        <v>0</v>
      </c>
      <c r="L15" s="304"/>
      <c r="M15" s="498"/>
      <c r="O15" s="432"/>
      <c r="P15" s="416"/>
      <c r="Q15" s="416"/>
      <c r="R15" s="416"/>
      <c r="S15" s="416"/>
      <c r="T15" s="416"/>
      <c r="U15" s="416"/>
      <c r="V15" s="433"/>
      <c r="W15" s="414"/>
      <c r="X15" s="414"/>
      <c r="Y15" s="414"/>
      <c r="Z15" s="414"/>
    </row>
    <row r="16" spans="1:29" ht="18.5" x14ac:dyDescent="0.45">
      <c r="A16" s="495"/>
      <c r="B16" s="91" t="s">
        <v>222</v>
      </c>
      <c r="C16" s="6"/>
      <c r="D16" s="6"/>
      <c r="E16" s="109"/>
      <c r="F16" s="501">
        <f t="shared" si="3"/>
        <v>0</v>
      </c>
      <c r="G16" s="99"/>
      <c r="H16" s="110">
        <f t="shared" si="0"/>
        <v>0</v>
      </c>
      <c r="I16" s="110">
        <f t="shared" si="1"/>
        <v>0</v>
      </c>
      <c r="J16" s="502">
        <f t="shared" si="2"/>
        <v>0</v>
      </c>
      <c r="L16" s="304"/>
      <c r="M16" s="498"/>
      <c r="O16" s="414"/>
      <c r="P16" s="414"/>
      <c r="Q16" s="414"/>
      <c r="R16" s="414"/>
      <c r="S16" s="414"/>
      <c r="T16" s="414"/>
      <c r="U16" s="414"/>
      <c r="V16" s="414"/>
      <c r="W16" s="414"/>
      <c r="X16" s="414"/>
      <c r="Y16" s="414"/>
      <c r="Z16" s="414"/>
    </row>
    <row r="17" spans="1:29" ht="21" x14ac:dyDescent="0.5">
      <c r="A17" s="495"/>
      <c r="B17" s="91" t="s">
        <v>222</v>
      </c>
      <c r="C17" s="6"/>
      <c r="D17" s="6"/>
      <c r="E17" s="109"/>
      <c r="F17" s="501">
        <f t="shared" ref="F17:F18" si="4">IF($E$7=0,0,E17/$E$7)</f>
        <v>0</v>
      </c>
      <c r="G17" s="99"/>
      <c r="H17" s="110">
        <f t="shared" ref="H17:H18" si="5">E17*H$6</f>
        <v>0</v>
      </c>
      <c r="I17" s="110">
        <f t="shared" ref="I17:I18" si="6">E17*I$6</f>
        <v>0</v>
      </c>
      <c r="J17" s="502">
        <f t="shared" ref="J17:J18" si="7">SUM(H17:I17)</f>
        <v>0</v>
      </c>
      <c r="L17" s="304"/>
      <c r="M17" s="498"/>
      <c r="O17" s="714" t="s">
        <v>223</v>
      </c>
      <c r="P17" s="715"/>
      <c r="Q17" s="715"/>
      <c r="R17" s="715"/>
      <c r="S17" s="715"/>
      <c r="T17" s="715"/>
      <c r="U17" s="715"/>
      <c r="V17" s="715"/>
      <c r="W17" s="715"/>
      <c r="X17" s="715"/>
      <c r="Y17" s="715"/>
      <c r="Z17" s="715"/>
      <c r="AA17" s="715"/>
      <c r="AB17" s="715"/>
      <c r="AC17" s="716"/>
    </row>
    <row r="18" spans="1:29" ht="18.5" x14ac:dyDescent="0.45">
      <c r="A18" s="495"/>
      <c r="B18" s="91" t="s">
        <v>222</v>
      </c>
      <c r="C18" s="6"/>
      <c r="D18" s="6"/>
      <c r="E18" s="109"/>
      <c r="F18" s="501">
        <f t="shared" si="4"/>
        <v>0</v>
      </c>
      <c r="G18" s="99"/>
      <c r="H18" s="110">
        <f t="shared" si="5"/>
        <v>0</v>
      </c>
      <c r="I18" s="110">
        <f t="shared" si="6"/>
        <v>0</v>
      </c>
      <c r="J18" s="502">
        <f t="shared" si="7"/>
        <v>0</v>
      </c>
      <c r="L18" s="304"/>
      <c r="M18" s="498"/>
      <c r="O18" s="434" t="s">
        <v>163</v>
      </c>
      <c r="P18" s="411"/>
      <c r="Q18" s="411"/>
      <c r="R18" s="411"/>
      <c r="S18" s="414"/>
      <c r="T18" s="414"/>
      <c r="U18" s="414"/>
      <c r="V18" s="414"/>
      <c r="W18" s="414"/>
      <c r="X18" s="414"/>
      <c r="Y18" s="414"/>
      <c r="Z18" s="414"/>
      <c r="AC18" s="69"/>
    </row>
    <row r="19" spans="1:29" ht="18.5" x14ac:dyDescent="0.45">
      <c r="A19" s="495"/>
      <c r="B19" s="91" t="s">
        <v>222</v>
      </c>
      <c r="C19" s="6"/>
      <c r="D19" s="6"/>
      <c r="E19" s="109"/>
      <c r="F19" s="501">
        <f t="shared" si="3"/>
        <v>0</v>
      </c>
      <c r="G19" s="99"/>
      <c r="H19" s="111">
        <f t="shared" si="0"/>
        <v>0</v>
      </c>
      <c r="I19" s="111">
        <f t="shared" si="1"/>
        <v>0</v>
      </c>
      <c r="J19" s="502">
        <f t="shared" si="2"/>
        <v>0</v>
      </c>
      <c r="L19" s="304"/>
      <c r="M19" s="498"/>
      <c r="O19" s="413" t="s">
        <v>408</v>
      </c>
      <c r="P19" s="411"/>
      <c r="Q19" s="411"/>
      <c r="R19" s="412"/>
      <c r="S19" s="414"/>
      <c r="T19" s="414"/>
      <c r="U19" s="414"/>
      <c r="V19" s="414"/>
      <c r="W19" s="414"/>
      <c r="X19" s="414"/>
      <c r="Y19" s="414"/>
      <c r="Z19" s="414"/>
      <c r="AC19" s="69"/>
    </row>
    <row r="20" spans="1:29" ht="19" thickBot="1" x14ac:dyDescent="0.5">
      <c r="A20" s="495"/>
      <c r="B20" s="82" t="s">
        <v>224</v>
      </c>
      <c r="C20" s="79"/>
      <c r="D20" s="79"/>
      <c r="E20" s="112">
        <f>SUM(E10:E19)</f>
        <v>0</v>
      </c>
      <c r="F20" s="113">
        <f t="shared" si="3"/>
        <v>0</v>
      </c>
      <c r="G20" s="114"/>
      <c r="H20" s="115">
        <f>SUM(H10:H19)</f>
        <v>0</v>
      </c>
      <c r="I20" s="115">
        <f>SUM(I10:I19)</f>
        <v>0</v>
      </c>
      <c r="J20" s="116">
        <f t="shared" si="2"/>
        <v>0</v>
      </c>
      <c r="M20" s="498"/>
      <c r="O20" s="434" t="s">
        <v>409</v>
      </c>
      <c r="P20" s="411"/>
      <c r="Q20" s="411"/>
      <c r="R20" s="411"/>
      <c r="S20" s="414"/>
      <c r="T20" s="414"/>
      <c r="U20" s="414"/>
      <c r="V20" s="414"/>
      <c r="W20" s="414"/>
      <c r="X20" s="414"/>
      <c r="Y20" s="414"/>
      <c r="Z20" s="414"/>
      <c r="AC20" s="69"/>
    </row>
    <row r="21" spans="1:29" ht="12" customHeight="1" thickTop="1" x14ac:dyDescent="0.45">
      <c r="A21" s="495"/>
      <c r="B21" s="500"/>
      <c r="C21" s="6"/>
      <c r="D21" s="6"/>
      <c r="F21" s="503"/>
      <c r="G21" s="99"/>
      <c r="J21" s="33"/>
      <c r="M21" s="498"/>
      <c r="O21" s="422" t="s">
        <v>410</v>
      </c>
      <c r="P21" s="417"/>
      <c r="Q21" s="417"/>
      <c r="R21" s="418"/>
      <c r="S21" s="416"/>
      <c r="T21" s="416"/>
      <c r="U21" s="416"/>
      <c r="V21" s="416"/>
      <c r="W21" s="416"/>
      <c r="X21" s="416"/>
      <c r="Y21" s="416"/>
      <c r="Z21" s="416"/>
      <c r="AA21" s="65"/>
      <c r="AB21" s="65"/>
      <c r="AC21" s="70"/>
    </row>
    <row r="22" spans="1:29" ht="31.15" customHeight="1" x14ac:dyDescent="0.55000000000000004">
      <c r="A22" s="495"/>
      <c r="B22" s="75" t="s">
        <v>411</v>
      </c>
      <c r="C22" s="75"/>
      <c r="D22" s="75"/>
      <c r="E22" s="76" t="s">
        <v>225</v>
      </c>
      <c r="F22" s="503"/>
      <c r="G22" s="99"/>
      <c r="H22" s="749" t="s">
        <v>226</v>
      </c>
      <c r="I22" s="750"/>
      <c r="J22" s="751"/>
      <c r="M22" s="498"/>
      <c r="O22" s="717" t="str">
        <f>IF(I5=0,"N/A- No Non-Res Space",IF(I6&gt;=30%,"FAIL","PASS"))</f>
        <v>N/A- No Non-Res Space</v>
      </c>
      <c r="P22" s="718"/>
      <c r="Q22" s="718"/>
      <c r="R22" s="718"/>
      <c r="S22" s="718"/>
      <c r="T22" s="718"/>
      <c r="U22" s="718"/>
      <c r="V22" s="718"/>
      <c r="W22" s="718"/>
      <c r="X22" s="718"/>
      <c r="Y22" s="718"/>
      <c r="Z22" s="718"/>
      <c r="AA22" s="718"/>
      <c r="AB22" s="718"/>
      <c r="AC22" s="719"/>
    </row>
    <row r="23" spans="1:29" ht="18.5" x14ac:dyDescent="0.45">
      <c r="A23" s="495"/>
      <c r="B23" s="500" t="s">
        <v>227</v>
      </c>
      <c r="C23" s="6"/>
      <c r="D23" s="6"/>
      <c r="E23" s="107"/>
      <c r="F23" s="117">
        <f>IF($E$7=0,0,E23/$E$7)</f>
        <v>0</v>
      </c>
      <c r="G23" s="99"/>
      <c r="H23" s="721"/>
      <c r="I23" s="722"/>
      <c r="J23" s="723"/>
      <c r="M23" s="498"/>
      <c r="O23" s="435" t="str">
        <f>IF(O22="FAIL", "Consult your CMHC Specialist to discuss", " ")</f>
        <v xml:space="preserve"> </v>
      </c>
      <c r="P23" s="414"/>
      <c r="Q23" s="414"/>
      <c r="R23" s="414"/>
      <c r="S23" s="414"/>
      <c r="T23" s="414"/>
      <c r="U23" s="414"/>
      <c r="V23" s="414"/>
      <c r="W23" s="414"/>
      <c r="X23" s="414"/>
      <c r="Y23" s="414"/>
      <c r="Z23" s="414"/>
    </row>
    <row r="24" spans="1:29" ht="18.5" x14ac:dyDescent="0.45">
      <c r="A24" s="495"/>
      <c r="B24" s="59" t="s">
        <v>228</v>
      </c>
      <c r="C24" s="6"/>
      <c r="D24" s="6"/>
      <c r="E24" s="107"/>
      <c r="F24" s="117">
        <f t="shared" ref="F24:F33" si="8">IF($E$7=0,0,E24/$E$7)</f>
        <v>0</v>
      </c>
      <c r="G24" s="99"/>
      <c r="H24" s="721"/>
      <c r="I24" s="722"/>
      <c r="J24" s="723"/>
      <c r="M24" s="498"/>
      <c r="O24" s="414"/>
      <c r="P24" s="436"/>
      <c r="Q24" s="414"/>
      <c r="R24" s="414"/>
      <c r="S24" s="414"/>
      <c r="T24" s="414"/>
      <c r="U24" s="414"/>
      <c r="V24" s="414"/>
      <c r="W24" s="414"/>
      <c r="X24" s="414"/>
      <c r="Y24" s="414"/>
      <c r="Z24" s="414"/>
    </row>
    <row r="25" spans="1:29" ht="18.5" x14ac:dyDescent="0.45">
      <c r="A25" s="495"/>
      <c r="B25" s="500" t="s">
        <v>229</v>
      </c>
      <c r="C25" s="6"/>
      <c r="D25" s="6"/>
      <c r="E25" s="107"/>
      <c r="F25" s="117">
        <f t="shared" si="8"/>
        <v>0</v>
      </c>
      <c r="G25" s="99"/>
      <c r="H25" s="721"/>
      <c r="I25" s="722"/>
      <c r="J25" s="723"/>
      <c r="M25" s="498"/>
      <c r="O25" s="405" t="s">
        <v>230</v>
      </c>
      <c r="P25" s="414"/>
      <c r="Q25" s="414"/>
      <c r="R25" s="414"/>
      <c r="S25" s="414"/>
      <c r="T25" s="414"/>
      <c r="U25" s="414"/>
      <c r="V25" s="414"/>
      <c r="W25" s="414"/>
      <c r="X25" s="414"/>
      <c r="Y25" s="414"/>
      <c r="Z25" s="414"/>
    </row>
    <row r="26" spans="1:29" ht="18.5" x14ac:dyDescent="0.45">
      <c r="A26" s="495"/>
      <c r="B26" s="500" t="s">
        <v>231</v>
      </c>
      <c r="C26" s="6"/>
      <c r="D26" s="6"/>
      <c r="E26" s="107"/>
      <c r="F26" s="117">
        <f t="shared" si="8"/>
        <v>0</v>
      </c>
      <c r="G26" s="99"/>
      <c r="H26" s="743"/>
      <c r="I26" s="722"/>
      <c r="J26" s="723"/>
      <c r="M26" s="498"/>
      <c r="O26" s="645" t="s">
        <v>232</v>
      </c>
      <c r="P26" s="646"/>
      <c r="Q26" s="646"/>
      <c r="R26" s="646"/>
      <c r="S26" s="646"/>
      <c r="T26" s="646"/>
      <c r="U26" s="646"/>
      <c r="V26" s="646"/>
      <c r="W26" s="647"/>
      <c r="X26" s="414"/>
      <c r="Y26" s="414"/>
      <c r="Z26" s="414"/>
    </row>
    <row r="27" spans="1:29" ht="18.5" x14ac:dyDescent="0.45">
      <c r="A27" s="495"/>
      <c r="B27" s="91" t="s">
        <v>222</v>
      </c>
      <c r="C27" s="6"/>
      <c r="D27" s="6"/>
      <c r="E27" s="107"/>
      <c r="F27" s="117">
        <f t="shared" si="8"/>
        <v>0</v>
      </c>
      <c r="G27" s="99"/>
      <c r="H27" s="743"/>
      <c r="I27" s="722"/>
      <c r="J27" s="723"/>
      <c r="M27" s="498"/>
      <c r="O27" s="437"/>
      <c r="P27" s="438" t="s">
        <v>233</v>
      </c>
      <c r="Q27" s="439"/>
      <c r="R27" s="439"/>
      <c r="S27" s="439"/>
      <c r="T27" s="438" t="s">
        <v>234</v>
      </c>
      <c r="U27" s="439"/>
      <c r="V27" s="439"/>
      <c r="W27" s="440"/>
      <c r="X27" s="414"/>
      <c r="Y27" s="414"/>
      <c r="Z27" s="414"/>
    </row>
    <row r="28" spans="1:29" ht="18.5" x14ac:dyDescent="0.45">
      <c r="A28" s="495"/>
      <c r="B28" s="91" t="s">
        <v>222</v>
      </c>
      <c r="C28" s="6"/>
      <c r="D28" s="6"/>
      <c r="E28" s="107"/>
      <c r="F28" s="117">
        <f t="shared" si="8"/>
        <v>0</v>
      </c>
      <c r="G28" s="99"/>
      <c r="H28" s="744"/>
      <c r="I28" s="722"/>
      <c r="J28" s="723"/>
      <c r="M28" s="498"/>
      <c r="O28" s="429" t="s">
        <v>6</v>
      </c>
      <c r="P28" s="414" t="s">
        <v>235</v>
      </c>
      <c r="Q28" s="414"/>
      <c r="R28" s="414"/>
      <c r="S28" s="430" t="s">
        <v>200</v>
      </c>
      <c r="T28" s="414" t="s">
        <v>236</v>
      </c>
      <c r="U28" s="414"/>
      <c r="V28" s="414"/>
      <c r="W28" s="428"/>
      <c r="X28" s="414"/>
      <c r="Y28" s="414"/>
      <c r="Z28" s="414"/>
    </row>
    <row r="29" spans="1:29" ht="18.5" x14ac:dyDescent="0.45">
      <c r="A29" s="495"/>
      <c r="B29" s="91" t="s">
        <v>222</v>
      </c>
      <c r="C29" s="6"/>
      <c r="D29" s="6"/>
      <c r="E29" s="107"/>
      <c r="F29" s="117">
        <f t="shared" si="8"/>
        <v>0</v>
      </c>
      <c r="G29" s="99"/>
      <c r="H29" s="744"/>
      <c r="I29" s="722"/>
      <c r="J29" s="723"/>
      <c r="M29" s="498"/>
      <c r="O29" s="429" t="s">
        <v>6</v>
      </c>
      <c r="P29" s="414" t="s">
        <v>237</v>
      </c>
      <c r="Q29" s="414"/>
      <c r="R29" s="414"/>
      <c r="S29" s="430" t="s">
        <v>200</v>
      </c>
      <c r="T29" s="414" t="s">
        <v>238</v>
      </c>
      <c r="U29" s="414"/>
      <c r="V29" s="414"/>
      <c r="W29" s="428"/>
      <c r="X29" s="414"/>
      <c r="Y29" s="414"/>
      <c r="Z29" s="414"/>
    </row>
    <row r="30" spans="1:29" ht="18.5" x14ac:dyDescent="0.45">
      <c r="A30" s="495"/>
      <c r="B30" s="91" t="s">
        <v>222</v>
      </c>
      <c r="C30" s="6"/>
      <c r="D30" s="6"/>
      <c r="E30" s="107"/>
      <c r="F30" s="117">
        <f t="shared" si="8"/>
        <v>0</v>
      </c>
      <c r="G30" s="99"/>
      <c r="H30" s="740"/>
      <c r="I30" s="741"/>
      <c r="J30" s="742"/>
      <c r="M30" s="498"/>
      <c r="O30" s="429" t="s">
        <v>6</v>
      </c>
      <c r="P30" s="414" t="s">
        <v>239</v>
      </c>
      <c r="Q30" s="414"/>
      <c r="R30" s="414"/>
      <c r="S30" s="430" t="s">
        <v>200</v>
      </c>
      <c r="T30" s="414" t="s">
        <v>240</v>
      </c>
      <c r="U30" s="414"/>
      <c r="V30" s="414"/>
      <c r="W30" s="428"/>
      <c r="X30" s="414"/>
      <c r="Y30" s="414"/>
      <c r="Z30" s="414"/>
    </row>
    <row r="31" spans="1:29" ht="18.5" x14ac:dyDescent="0.45">
      <c r="A31" s="495"/>
      <c r="B31" s="451" t="s">
        <v>241</v>
      </c>
      <c r="C31" s="6"/>
      <c r="D31" s="6"/>
      <c r="E31" s="107"/>
      <c r="F31" s="117">
        <f t="shared" si="8"/>
        <v>0</v>
      </c>
      <c r="G31" s="99"/>
      <c r="H31" s="743"/>
      <c r="I31" s="722"/>
      <c r="J31" s="723"/>
      <c r="M31" s="498"/>
      <c r="O31" s="429" t="s">
        <v>6</v>
      </c>
      <c r="P31" s="414" t="s">
        <v>242</v>
      </c>
      <c r="Q31" s="414"/>
      <c r="R31" s="414"/>
      <c r="S31" s="430" t="s">
        <v>200</v>
      </c>
      <c r="T31" s="414" t="s">
        <v>243</v>
      </c>
      <c r="U31" s="414"/>
      <c r="V31" s="414"/>
      <c r="W31" s="428"/>
      <c r="X31" s="414"/>
      <c r="Y31" s="414"/>
      <c r="Z31" s="414"/>
    </row>
    <row r="32" spans="1:29" ht="18.5" x14ac:dyDescent="0.45">
      <c r="A32" s="495"/>
      <c r="B32" s="451" t="s">
        <v>244</v>
      </c>
      <c r="C32" s="6"/>
      <c r="D32" s="6"/>
      <c r="E32" s="107"/>
      <c r="F32" s="117">
        <f t="shared" si="8"/>
        <v>0</v>
      </c>
      <c r="G32" s="99"/>
      <c r="H32" s="743"/>
      <c r="I32" s="722"/>
      <c r="J32" s="723"/>
      <c r="M32" s="498"/>
      <c r="O32" s="429" t="s">
        <v>6</v>
      </c>
      <c r="P32" s="414" t="s">
        <v>245</v>
      </c>
      <c r="Q32" s="414"/>
      <c r="R32" s="414"/>
      <c r="S32" s="430"/>
      <c r="T32" s="414"/>
      <c r="U32" s="414"/>
      <c r="V32" s="414"/>
      <c r="W32" s="428"/>
      <c r="X32" s="414"/>
      <c r="Y32" s="414"/>
      <c r="Z32" s="414"/>
    </row>
    <row r="33" spans="1:29" ht="18.5" x14ac:dyDescent="0.45">
      <c r="A33" s="495"/>
      <c r="B33" s="80" t="s">
        <v>246</v>
      </c>
      <c r="C33" s="81"/>
      <c r="D33" s="81"/>
      <c r="E33" s="122">
        <f>SUM(E23:E32)</f>
        <v>0</v>
      </c>
      <c r="F33" s="122">
        <f t="shared" si="8"/>
        <v>0</v>
      </c>
      <c r="G33" s="99"/>
      <c r="J33" s="78"/>
      <c r="M33" s="498"/>
      <c r="O33" s="429" t="s">
        <v>6</v>
      </c>
      <c r="P33" s="414" t="s">
        <v>247</v>
      </c>
      <c r="Q33" s="414"/>
      <c r="R33" s="414"/>
      <c r="S33" s="430"/>
      <c r="T33" s="414"/>
      <c r="U33" s="414"/>
      <c r="V33" s="414"/>
      <c r="W33" s="428"/>
      <c r="X33" s="414"/>
      <c r="Y33" s="414"/>
      <c r="Z33" s="414"/>
    </row>
    <row r="34" spans="1:29" ht="19" thickBot="1" x14ac:dyDescent="0.5">
      <c r="A34" s="495"/>
      <c r="B34" s="80"/>
      <c r="C34" s="8"/>
      <c r="D34" s="8"/>
      <c r="E34" s="279"/>
      <c r="F34" s="279"/>
      <c r="G34" s="99"/>
      <c r="J34" s="78"/>
      <c r="M34" s="498"/>
      <c r="O34" s="429" t="s">
        <v>6</v>
      </c>
      <c r="P34" s="414" t="s">
        <v>248</v>
      </c>
      <c r="Q34" s="414"/>
      <c r="R34" s="414"/>
      <c r="S34" s="430"/>
      <c r="T34" s="414"/>
      <c r="U34" s="414"/>
      <c r="V34" s="414"/>
      <c r="W34" s="428"/>
      <c r="X34" s="414"/>
      <c r="Y34" s="414"/>
      <c r="Z34" s="414"/>
    </row>
    <row r="35" spans="1:29" ht="19" thickBot="1" x14ac:dyDescent="0.5">
      <c r="A35" s="495"/>
      <c r="B35" s="357" t="s">
        <v>249</v>
      </c>
      <c r="C35" s="358">
        <f>'Scoring Grid'!K121</f>
        <v>0</v>
      </c>
      <c r="D35" s="81"/>
      <c r="E35" s="355">
        <f>IFERROR('Scoring Grid'!K121*E20,0)</f>
        <v>0</v>
      </c>
      <c r="F35" s="122">
        <f t="shared" ref="F35" si="9">IF($E$7=0,0,E35/$E$7)</f>
        <v>0</v>
      </c>
      <c r="G35" s="334"/>
      <c r="H35" s="335">
        <f>E35*H6</f>
        <v>0</v>
      </c>
      <c r="I35" s="335">
        <f>I6*E35</f>
        <v>0</v>
      </c>
      <c r="J35" s="336">
        <f t="shared" ref="J35" si="10">SUM(H35:I35)</f>
        <v>0</v>
      </c>
      <c r="M35" s="498"/>
      <c r="O35" s="441"/>
      <c r="P35" s="416"/>
      <c r="Q35" s="416"/>
      <c r="R35" s="416"/>
      <c r="S35" s="416"/>
      <c r="T35" s="416"/>
      <c r="U35" s="416"/>
      <c r="V35" s="416"/>
      <c r="W35" s="433"/>
      <c r="X35" s="414"/>
      <c r="Y35" s="414"/>
      <c r="Z35" s="414"/>
    </row>
    <row r="36" spans="1:29" ht="18.5" x14ac:dyDescent="0.45">
      <c r="A36" s="495"/>
      <c r="B36" s="80"/>
      <c r="C36" s="8"/>
      <c r="D36" s="8"/>
      <c r="E36" s="27"/>
      <c r="F36" s="78"/>
      <c r="G36" s="99"/>
      <c r="J36" s="78"/>
      <c r="M36" s="498"/>
      <c r="O36" s="414"/>
      <c r="P36" s="414"/>
      <c r="Q36" s="414"/>
      <c r="R36" s="414"/>
      <c r="S36" s="414"/>
      <c r="T36" s="414"/>
      <c r="U36" s="414"/>
      <c r="V36" s="414"/>
      <c r="W36" s="414"/>
      <c r="X36" s="414"/>
      <c r="Y36" s="414"/>
      <c r="Z36" s="414"/>
    </row>
    <row r="37" spans="1:29" ht="19" thickBot="1" x14ac:dyDescent="0.5">
      <c r="A37" s="495"/>
      <c r="B37" s="337" t="s">
        <v>250</v>
      </c>
      <c r="C37" s="338"/>
      <c r="D37" s="338"/>
      <c r="E37" s="339">
        <f>IF(E20-E33-E35&lt;0,0,E20-E33-E35)</f>
        <v>0</v>
      </c>
      <c r="F37" s="339">
        <f t="shared" ref="F37" si="11">IF($E$7=0,0,E37/$E$7)</f>
        <v>0</v>
      </c>
      <c r="G37" s="340"/>
      <c r="H37" s="341">
        <f>E37*H6</f>
        <v>0</v>
      </c>
      <c r="I37" s="341">
        <f>I6*E37</f>
        <v>0</v>
      </c>
      <c r="J37" s="342">
        <f t="shared" ref="J37" si="12">SUM(H37:I37)</f>
        <v>0</v>
      </c>
      <c r="M37" s="498"/>
      <c r="O37" s="405" t="s">
        <v>412</v>
      </c>
      <c r="P37" s="414"/>
      <c r="Q37" s="414"/>
      <c r="R37" s="414"/>
      <c r="S37" s="414"/>
      <c r="T37" s="414"/>
      <c r="U37" s="414"/>
      <c r="V37" s="414"/>
      <c r="W37" s="414"/>
      <c r="X37" s="414"/>
      <c r="Y37" s="414"/>
      <c r="Z37" s="414"/>
    </row>
    <row r="38" spans="1:29" ht="18.5" x14ac:dyDescent="0.45">
      <c r="A38" s="495"/>
      <c r="B38" s="193"/>
      <c r="C38" s="8"/>
      <c r="D38" s="8"/>
      <c r="E38" s="279"/>
      <c r="F38" s="279"/>
      <c r="G38" s="5"/>
      <c r="J38" s="78"/>
      <c r="M38" s="498"/>
      <c r="O38" s="720" t="s">
        <v>251</v>
      </c>
      <c r="P38" s="720"/>
      <c r="Q38" s="720"/>
      <c r="R38" s="720"/>
      <c r="S38" s="720"/>
      <c r="T38" s="720"/>
      <c r="U38" s="720"/>
      <c r="V38" s="720"/>
      <c r="W38" s="720"/>
      <c r="X38" s="720"/>
      <c r="Y38" s="720"/>
      <c r="Z38" s="720"/>
      <c r="AA38" s="720"/>
      <c r="AB38" s="720"/>
      <c r="AC38" s="720"/>
    </row>
    <row r="39" spans="1:29" ht="18.5" x14ac:dyDescent="0.45">
      <c r="A39" s="495"/>
      <c r="B39" s="193"/>
      <c r="C39" s="8"/>
      <c r="D39" s="8"/>
      <c r="E39" s="279"/>
      <c r="F39" s="279"/>
      <c r="G39" s="5"/>
      <c r="J39" s="78"/>
      <c r="M39" s="498"/>
      <c r="O39" s="414"/>
      <c r="P39" s="414"/>
      <c r="Q39" s="414"/>
      <c r="R39" s="414"/>
      <c r="S39" s="414"/>
      <c r="T39" s="414"/>
      <c r="U39" s="414"/>
      <c r="V39" s="414"/>
      <c r="W39" s="414"/>
      <c r="X39" s="414"/>
      <c r="Y39" s="414"/>
      <c r="Z39" s="414"/>
    </row>
    <row r="40" spans="1:29" ht="18.5" x14ac:dyDescent="0.45">
      <c r="A40" s="495"/>
      <c r="B40" s="192" t="s">
        <v>252</v>
      </c>
      <c r="C40" s="5"/>
      <c r="D40" s="5"/>
      <c r="E40" s="5"/>
      <c r="F40" s="5"/>
      <c r="G40" s="5"/>
      <c r="H40" s="5"/>
      <c r="I40" s="5"/>
      <c r="J40" s="5"/>
      <c r="K40" s="5"/>
      <c r="M40" s="498"/>
      <c r="O40" s="696" t="s">
        <v>413</v>
      </c>
      <c r="P40" s="697"/>
      <c r="Q40" s="697"/>
      <c r="R40" s="697"/>
      <c r="S40" s="697"/>
      <c r="T40" s="697"/>
      <c r="U40" s="697"/>
      <c r="V40" s="697"/>
      <c r="W40" s="697"/>
      <c r="X40" s="697"/>
      <c r="Y40" s="697"/>
      <c r="Z40" s="697"/>
      <c r="AA40" s="697"/>
      <c r="AB40" s="697"/>
      <c r="AC40" s="698"/>
    </row>
    <row r="41" spans="1:29" ht="18.5" x14ac:dyDescent="0.45">
      <c r="A41" s="495"/>
      <c r="B41" s="730"/>
      <c r="C41" s="731"/>
      <c r="D41" s="731"/>
      <c r="E41" s="731"/>
      <c r="F41" s="731"/>
      <c r="G41" s="731"/>
      <c r="H41" s="731"/>
      <c r="I41" s="731"/>
      <c r="J41" s="731"/>
      <c r="K41" s="732"/>
      <c r="M41" s="498"/>
      <c r="O41" s="442" t="s">
        <v>253</v>
      </c>
      <c r="P41" s="443"/>
      <c r="Q41" s="443"/>
      <c r="R41" s="443"/>
      <c r="S41" s="439"/>
      <c r="T41" s="439"/>
      <c r="U41" s="439"/>
      <c r="V41" s="439"/>
      <c r="W41" s="439"/>
      <c r="X41" s="439"/>
      <c r="Y41" s="439"/>
      <c r="Z41" s="439"/>
      <c r="AA41" s="63"/>
      <c r="AB41" s="63"/>
      <c r="AC41" s="68"/>
    </row>
    <row r="42" spans="1:29" ht="18.5" x14ac:dyDescent="0.45">
      <c r="A42" s="495"/>
      <c r="B42" s="733"/>
      <c r="C42" s="734"/>
      <c r="D42" s="734"/>
      <c r="E42" s="734"/>
      <c r="F42" s="734"/>
      <c r="G42" s="734"/>
      <c r="H42" s="734"/>
      <c r="I42" s="734"/>
      <c r="J42" s="734"/>
      <c r="K42" s="735"/>
      <c r="M42" s="498"/>
      <c r="O42" s="444" t="s">
        <v>414</v>
      </c>
      <c r="P42" s="411"/>
      <c r="Q42" s="411"/>
      <c r="R42" s="412"/>
      <c r="S42" s="414"/>
      <c r="T42" s="414"/>
      <c r="U42" s="414"/>
      <c r="V42" s="414"/>
      <c r="W42" s="414"/>
      <c r="X42" s="414"/>
      <c r="Y42" s="414"/>
      <c r="Z42" s="414"/>
      <c r="AC42" s="69"/>
    </row>
    <row r="43" spans="1:29" ht="18.5" x14ac:dyDescent="0.45">
      <c r="A43" s="495"/>
      <c r="B43" s="733"/>
      <c r="C43" s="734"/>
      <c r="D43" s="734"/>
      <c r="E43" s="734"/>
      <c r="F43" s="734"/>
      <c r="G43" s="734"/>
      <c r="H43" s="734"/>
      <c r="I43" s="734"/>
      <c r="J43" s="734"/>
      <c r="K43" s="735"/>
      <c r="M43" s="498"/>
      <c r="O43" s="434" t="s">
        <v>254</v>
      </c>
      <c r="P43" s="414"/>
      <c r="Q43" s="414"/>
      <c r="R43" s="414"/>
      <c r="S43" s="414"/>
      <c r="T43" s="414"/>
      <c r="U43" s="414"/>
      <c r="V43" s="414"/>
      <c r="W43" s="414"/>
      <c r="X43" s="414"/>
      <c r="Y43" s="414"/>
      <c r="Z43" s="414"/>
      <c r="AC43" s="69"/>
    </row>
    <row r="44" spans="1:29" ht="18.5" x14ac:dyDescent="0.45">
      <c r="A44" s="495"/>
      <c r="B44" s="733"/>
      <c r="C44" s="734"/>
      <c r="D44" s="734"/>
      <c r="E44" s="734"/>
      <c r="F44" s="734"/>
      <c r="G44" s="734"/>
      <c r="H44" s="734"/>
      <c r="I44" s="734"/>
      <c r="J44" s="734"/>
      <c r="K44" s="735"/>
      <c r="M44" s="498"/>
      <c r="O44" s="445" t="s">
        <v>415</v>
      </c>
      <c r="P44" s="414"/>
      <c r="Q44" s="414"/>
      <c r="R44" s="414"/>
      <c r="S44" s="414"/>
      <c r="T44" s="414"/>
      <c r="U44" s="414"/>
      <c r="V44" s="414"/>
      <c r="W44" s="414"/>
      <c r="X44" s="414"/>
      <c r="Y44" s="414"/>
      <c r="Z44" s="414"/>
      <c r="AC44" s="69"/>
    </row>
    <row r="45" spans="1:29" ht="18.5" x14ac:dyDescent="0.45">
      <c r="A45" s="495"/>
      <c r="B45" s="736"/>
      <c r="C45" s="737"/>
      <c r="D45" s="737"/>
      <c r="E45" s="737"/>
      <c r="F45" s="737"/>
      <c r="G45" s="737"/>
      <c r="H45" s="737"/>
      <c r="I45" s="737"/>
      <c r="J45" s="737"/>
      <c r="K45" s="738"/>
      <c r="M45" s="498"/>
      <c r="O45" s="434" t="s">
        <v>255</v>
      </c>
      <c r="P45" s="414"/>
      <c r="Q45" s="414"/>
      <c r="R45" s="414"/>
      <c r="S45" s="414"/>
      <c r="T45" s="414"/>
      <c r="U45" s="414"/>
      <c r="V45" s="414"/>
      <c r="W45" s="414"/>
      <c r="X45" s="414"/>
      <c r="Y45" s="414"/>
      <c r="Z45" s="414"/>
      <c r="AC45" s="69"/>
    </row>
    <row r="46" spans="1:29" ht="18.5" x14ac:dyDescent="0.45">
      <c r="A46" s="495"/>
      <c r="B46" s="360"/>
      <c r="C46" s="360"/>
      <c r="D46" s="360"/>
      <c r="E46" s="360"/>
      <c r="F46" s="360"/>
      <c r="G46" s="360"/>
      <c r="H46" s="360"/>
      <c r="I46" s="360"/>
      <c r="J46" s="360"/>
      <c r="K46" s="360"/>
      <c r="M46" s="498"/>
      <c r="O46" s="445" t="s">
        <v>256</v>
      </c>
      <c r="P46" s="414"/>
      <c r="Q46" s="414"/>
      <c r="R46" s="414"/>
      <c r="S46" s="414"/>
      <c r="T46" s="414"/>
      <c r="U46" s="414"/>
      <c r="V46" s="414"/>
      <c r="W46" s="414"/>
      <c r="X46" s="414"/>
      <c r="Y46" s="414"/>
      <c r="Z46" s="414"/>
      <c r="AC46" s="69"/>
    </row>
    <row r="47" spans="1:29" ht="18.5" x14ac:dyDescent="0.45">
      <c r="A47" s="495"/>
      <c r="B47" s="360"/>
      <c r="C47" s="360"/>
      <c r="D47" s="360"/>
      <c r="E47" s="360"/>
      <c r="F47" s="360"/>
      <c r="G47" s="360"/>
      <c r="H47" s="360"/>
      <c r="I47" s="360"/>
      <c r="J47" s="360"/>
      <c r="K47" s="360"/>
      <c r="M47" s="498"/>
      <c r="O47" s="445" t="s">
        <v>416</v>
      </c>
      <c r="P47" s="414"/>
      <c r="Q47" s="414"/>
      <c r="R47" s="414"/>
      <c r="S47" s="414"/>
      <c r="T47" s="414"/>
      <c r="U47" s="414"/>
      <c r="V47" s="414"/>
      <c r="W47" s="414"/>
      <c r="X47" s="414"/>
      <c r="Y47" s="414"/>
      <c r="Z47" s="414"/>
      <c r="AC47" s="69"/>
    </row>
    <row r="48" spans="1:29" ht="23.5" x14ac:dyDescent="0.55000000000000004">
      <c r="A48" s="495"/>
      <c r="B48" s="711" t="s">
        <v>417</v>
      </c>
      <c r="C48" s="711"/>
      <c r="D48" s="711"/>
      <c r="E48" s="711"/>
      <c r="F48" s="711"/>
      <c r="G48" s="711"/>
      <c r="H48" s="711"/>
      <c r="I48" s="711"/>
      <c r="J48" s="711"/>
      <c r="K48" s="711"/>
      <c r="L48" s="711"/>
      <c r="M48" s="498"/>
      <c r="O48" s="434" t="s">
        <v>257</v>
      </c>
      <c r="P48" s="414"/>
      <c r="Q48" s="414"/>
      <c r="R48" s="414"/>
      <c r="S48" s="414"/>
      <c r="T48" s="414"/>
      <c r="U48" s="414"/>
      <c r="V48" s="414"/>
      <c r="W48" s="414"/>
      <c r="X48" s="414"/>
      <c r="Y48" s="414"/>
      <c r="Z48" s="414"/>
      <c r="AC48" s="69"/>
    </row>
    <row r="49" spans="1:29" ht="19" thickBot="1" x14ac:dyDescent="0.5">
      <c r="A49" s="495"/>
      <c r="B49" s="27"/>
      <c r="C49" s="27"/>
      <c r="D49" s="27"/>
      <c r="E49" s="27"/>
      <c r="J49" s="33"/>
      <c r="M49" s="498"/>
      <c r="O49" s="446" t="s">
        <v>258</v>
      </c>
      <c r="P49" s="416"/>
      <c r="Q49" s="416"/>
      <c r="R49" s="416"/>
      <c r="S49" s="416"/>
      <c r="T49" s="416"/>
      <c r="U49" s="416"/>
      <c r="V49" s="416"/>
      <c r="W49" s="416"/>
      <c r="X49" s="416"/>
      <c r="Y49" s="416"/>
      <c r="Z49" s="416"/>
      <c r="AA49" s="65"/>
      <c r="AB49" s="65"/>
      <c r="AC49" s="70"/>
    </row>
    <row r="50" spans="1:29" ht="35.5" customHeight="1" x14ac:dyDescent="0.45">
      <c r="A50" s="495"/>
      <c r="B50" s="454" t="s">
        <v>259</v>
      </c>
      <c r="C50" s="745">
        <f>'Scoring Grid'!E109</f>
        <v>0</v>
      </c>
      <c r="D50" s="746"/>
      <c r="E50" s="217"/>
      <c r="F50" s="455"/>
      <c r="G50" s="455"/>
      <c r="H50" s="455"/>
      <c r="I50" s="455"/>
      <c r="J50" s="218"/>
      <c r="K50" s="455"/>
      <c r="M50" s="498"/>
      <c r="O50" s="414"/>
      <c r="P50" s="414"/>
      <c r="Q50" s="414"/>
      <c r="R50" s="414"/>
      <c r="S50" s="414"/>
      <c r="T50" s="414"/>
      <c r="U50" s="414"/>
      <c r="V50" s="414"/>
      <c r="W50" s="414"/>
      <c r="X50" s="414"/>
      <c r="Y50" s="414"/>
      <c r="Z50" s="414"/>
    </row>
    <row r="51" spans="1:29" ht="28.15" customHeight="1" thickBot="1" x14ac:dyDescent="0.5">
      <c r="A51" s="495"/>
      <c r="B51" s="456" t="s">
        <v>260</v>
      </c>
      <c r="C51" s="747" t="str">
        <f>'Scoring Grid'!E112</f>
        <v>Repayable Loan</v>
      </c>
      <c r="D51" s="748"/>
      <c r="E51" s="712" t="str">
        <f>IF(AND(C51="Repayable loan",OR('Proforma - Residential'!$G$79="",'Proforma - Residential'!$G$80="")),"Please complete section 6A in the Proforma- Residential tab","")</f>
        <v>Please complete section 6A in the Proforma- Residential tab</v>
      </c>
      <c r="F51" s="713"/>
      <c r="G51" s="713"/>
      <c r="H51" s="713"/>
      <c r="I51" s="457"/>
      <c r="J51" s="458"/>
      <c r="K51" s="458"/>
      <c r="M51" s="498"/>
      <c r="O51" s="645" t="s">
        <v>261</v>
      </c>
      <c r="P51" s="646"/>
      <c r="Q51" s="646"/>
      <c r="R51" s="646"/>
      <c r="S51" s="646"/>
      <c r="T51" s="646"/>
      <c r="U51" s="646"/>
      <c r="V51" s="646"/>
      <c r="W51" s="646"/>
      <c r="X51" s="646"/>
      <c r="Y51" s="646"/>
      <c r="Z51" s="646"/>
      <c r="AA51" s="646"/>
      <c r="AB51" s="646"/>
      <c r="AC51" s="647"/>
    </row>
    <row r="52" spans="1:29" ht="19" thickBot="1" x14ac:dyDescent="0.5">
      <c r="A52" s="495"/>
      <c r="B52" s="457"/>
      <c r="C52" s="457"/>
      <c r="D52" s="457"/>
      <c r="E52" s="457"/>
      <c r="F52" s="457"/>
      <c r="G52" s="457"/>
      <c r="H52" s="457"/>
      <c r="I52" s="457"/>
      <c r="J52" s="458"/>
      <c r="K52" s="458"/>
      <c r="M52" s="498"/>
      <c r="O52" s="442" t="s">
        <v>262</v>
      </c>
      <c r="P52" s="443"/>
      <c r="Q52" s="443"/>
      <c r="R52" s="443"/>
      <c r="S52" s="439"/>
      <c r="T52" s="439"/>
      <c r="U52" s="439"/>
      <c r="V52" s="439"/>
      <c r="W52" s="439"/>
      <c r="X52" s="439"/>
      <c r="Y52" s="439"/>
      <c r="Z52" s="439"/>
      <c r="AA52" s="63"/>
      <c r="AB52" s="63"/>
      <c r="AC52" s="68"/>
    </row>
    <row r="53" spans="1:29" ht="19" thickBot="1" x14ac:dyDescent="0.5">
      <c r="A53" s="495"/>
      <c r="B53" s="459" t="s">
        <v>263</v>
      </c>
      <c r="C53" s="701" t="s">
        <v>264</v>
      </c>
      <c r="D53" s="702"/>
      <c r="E53" s="460" t="s">
        <v>265</v>
      </c>
      <c r="F53" s="457"/>
      <c r="G53" s="457"/>
      <c r="H53" s="457"/>
      <c r="I53" s="457"/>
      <c r="J53" s="458"/>
      <c r="K53" s="458"/>
      <c r="M53" s="498"/>
      <c r="O53" s="447" t="s">
        <v>266</v>
      </c>
      <c r="P53" s="414"/>
      <c r="Q53" s="414"/>
      <c r="R53" s="414"/>
      <c r="S53" s="414"/>
      <c r="T53" s="414"/>
      <c r="U53" s="414"/>
      <c r="V53" s="414"/>
      <c r="W53" s="414"/>
      <c r="X53" s="414"/>
      <c r="Y53" s="414"/>
      <c r="Z53" s="414"/>
      <c r="AC53" s="69"/>
    </row>
    <row r="54" spans="1:29" ht="18.5" x14ac:dyDescent="0.45">
      <c r="A54" s="495"/>
      <c r="B54" s="461" t="s">
        <v>267</v>
      </c>
      <c r="C54" s="703">
        <f>IF(C51="Repayable loan",'Proforma - Residential'!G97, "N/A for Selected Funding Type")</f>
        <v>0</v>
      </c>
      <c r="D54" s="704"/>
      <c r="E54" s="462">
        <f>IF(C54= "N/A for Selected Funding Type", C54, 1)</f>
        <v>1</v>
      </c>
      <c r="F54" s="457"/>
      <c r="G54" s="457"/>
      <c r="H54" s="457"/>
      <c r="I54" s="457"/>
      <c r="J54" s="458"/>
      <c r="K54" s="458"/>
      <c r="M54" s="498"/>
      <c r="O54" s="447" t="s">
        <v>268</v>
      </c>
      <c r="P54" s="414"/>
      <c r="Q54" s="414"/>
      <c r="R54" s="414"/>
      <c r="S54" s="414"/>
      <c r="T54" s="414"/>
      <c r="U54" s="414"/>
      <c r="V54" s="414"/>
      <c r="W54" s="414"/>
      <c r="X54" s="414"/>
      <c r="Y54" s="414"/>
      <c r="Z54" s="414"/>
      <c r="AC54" s="69"/>
    </row>
    <row r="55" spans="1:29" ht="19" thickBot="1" x14ac:dyDescent="0.5">
      <c r="A55" s="495"/>
      <c r="B55" s="461" t="s">
        <v>269</v>
      </c>
      <c r="C55" s="705">
        <f>IF(C51="Repayable loan",'Proforma - Non-Residential'!$G$69, "N/A for Selected Funding Type")</f>
        <v>0</v>
      </c>
      <c r="D55" s="706"/>
      <c r="E55" s="463">
        <f>IF(C55= "N/A for Selected Funding Type", C55, 1.4)</f>
        <v>1.4</v>
      </c>
      <c r="F55" s="707" t="str">
        <f>IF(AND($I$6&gt;0,'Proforma - Non-Residential'!G60=0),"You have indicated non-residential space but have not completed the 'Proforma- Non-Residential' tab. Consult with your CMHC Specialist","")</f>
        <v/>
      </c>
      <c r="G55" s="708"/>
      <c r="H55" s="708"/>
      <c r="I55" s="708"/>
      <c r="J55" s="708"/>
      <c r="K55" s="708"/>
      <c r="M55" s="498"/>
      <c r="O55" s="448" t="s">
        <v>270</v>
      </c>
      <c r="P55" s="414"/>
      <c r="Q55" s="414"/>
      <c r="R55" s="414"/>
      <c r="S55" s="414"/>
      <c r="T55" s="414"/>
      <c r="U55" s="414"/>
      <c r="V55" s="414"/>
      <c r="W55" s="414"/>
      <c r="X55" s="414"/>
      <c r="Y55" s="414"/>
      <c r="Z55" s="414"/>
      <c r="AC55" s="69"/>
    </row>
    <row r="56" spans="1:29" ht="19" thickBot="1" x14ac:dyDescent="0.5">
      <c r="A56" s="495"/>
      <c r="B56" s="464" t="s">
        <v>271</v>
      </c>
      <c r="C56" s="709" t="e">
        <f>IF(C51="Repayable Loan",('Proforma - Residential'!$G$71+'Proforma - Non-Residential'!$G$60)/('Proforma - Residential'!$G$96+'Proforma - Non-Residential'!$G$68),IF('Proforma - Residential'!G89&gt;0,('Proforma - Residential'!$G$71+'Proforma - Non-Residential'!$G$60)/'Proforma - Residential'!G89,"N/A- No Project Debt"))</f>
        <v>#DIV/0!</v>
      </c>
      <c r="D56" s="710"/>
      <c r="E56" s="465" t="e">
        <f>IF(C56= "N/A- No Project Debt", C56, 1)</f>
        <v>#DIV/0!</v>
      </c>
      <c r="F56" s="707"/>
      <c r="G56" s="708"/>
      <c r="H56" s="708"/>
      <c r="I56" s="708"/>
      <c r="J56" s="708"/>
      <c r="K56" s="708"/>
      <c r="M56" s="498"/>
      <c r="O56" s="434" t="s">
        <v>272</v>
      </c>
      <c r="P56" s="414"/>
      <c r="Q56" s="414"/>
      <c r="R56" s="414"/>
      <c r="S56" s="414"/>
      <c r="T56" s="414"/>
      <c r="U56" s="414"/>
      <c r="V56" s="414"/>
      <c r="W56" s="414"/>
      <c r="X56" s="414"/>
      <c r="Y56" s="414"/>
      <c r="Z56" s="414"/>
      <c r="AC56" s="69"/>
    </row>
    <row r="57" spans="1:29" ht="18.5" x14ac:dyDescent="0.45">
      <c r="A57" s="495"/>
      <c r="B57" s="457"/>
      <c r="C57" s="457"/>
      <c r="D57" s="457"/>
      <c r="E57" s="457"/>
      <c r="F57" s="455"/>
      <c r="G57" s="455"/>
      <c r="H57" s="455"/>
      <c r="I57" s="455"/>
      <c r="J57" s="458"/>
      <c r="K57" s="458"/>
      <c r="M57" s="498"/>
      <c r="O57" s="447" t="s">
        <v>270</v>
      </c>
      <c r="P57" s="414"/>
      <c r="Q57" s="414"/>
      <c r="R57" s="414"/>
      <c r="S57" s="414"/>
      <c r="T57" s="414"/>
      <c r="U57" s="414"/>
      <c r="V57" s="414"/>
      <c r="W57" s="414"/>
      <c r="X57" s="414"/>
      <c r="Y57" s="414"/>
      <c r="Z57" s="414"/>
      <c r="AC57" s="69"/>
    </row>
    <row r="58" spans="1:29" ht="19" thickBot="1" x14ac:dyDescent="0.5">
      <c r="A58" s="495"/>
      <c r="B58" s="466"/>
      <c r="C58" s="467"/>
      <c r="D58" s="467"/>
      <c r="E58" s="457"/>
      <c r="F58" s="457"/>
      <c r="G58" s="457"/>
      <c r="H58" s="457"/>
      <c r="I58" s="457"/>
      <c r="J58" s="458"/>
      <c r="K58" s="458"/>
      <c r="M58" s="498"/>
      <c r="O58" s="426"/>
      <c r="P58" s="414"/>
      <c r="Q58" s="414"/>
      <c r="R58" s="414"/>
      <c r="S58" s="414"/>
      <c r="T58" s="414"/>
      <c r="U58" s="414"/>
      <c r="V58" s="414"/>
      <c r="W58" s="414"/>
      <c r="X58" s="414"/>
      <c r="Y58" s="414"/>
      <c r="Z58" s="414"/>
      <c r="AC58" s="69"/>
    </row>
    <row r="59" spans="1:29" ht="29.5" thickBot="1" x14ac:dyDescent="0.5">
      <c r="A59" s="495"/>
      <c r="B59" s="454" t="s">
        <v>273</v>
      </c>
      <c r="C59" s="468" t="s">
        <v>274</v>
      </c>
      <c r="D59" s="468" t="s">
        <v>275</v>
      </c>
      <c r="E59" s="457"/>
      <c r="F59" s="457"/>
      <c r="G59" s="457"/>
      <c r="H59" s="457"/>
      <c r="I59" s="457"/>
      <c r="J59" s="458"/>
      <c r="K59" s="458"/>
      <c r="M59" s="498"/>
      <c r="O59" s="449"/>
      <c r="P59" s="416"/>
      <c r="Q59" s="416"/>
      <c r="R59" s="416"/>
      <c r="S59" s="416"/>
      <c r="T59" s="416"/>
      <c r="U59" s="416"/>
      <c r="V59" s="416"/>
      <c r="W59" s="416"/>
      <c r="X59" s="416"/>
      <c r="Y59" s="416"/>
      <c r="Z59" s="416"/>
      <c r="AA59" s="65"/>
      <c r="AB59" s="65"/>
      <c r="AC59" s="70"/>
    </row>
    <row r="60" spans="1:29" x14ac:dyDescent="0.35">
      <c r="A60" s="495"/>
      <c r="B60" s="469" t="s">
        <v>418</v>
      </c>
      <c r="C60" s="488">
        <f>C73</f>
        <v>0</v>
      </c>
      <c r="D60" s="470">
        <f>D73</f>
        <v>0</v>
      </c>
      <c r="E60" s="457"/>
      <c r="F60" s="457"/>
      <c r="G60" s="457"/>
      <c r="H60" s="457"/>
      <c r="I60" s="457"/>
      <c r="J60" s="458"/>
      <c r="K60" s="458"/>
      <c r="M60" s="498"/>
    </row>
    <row r="61" spans="1:29" x14ac:dyDescent="0.35">
      <c r="A61" s="495"/>
      <c r="B61" s="461" t="s">
        <v>419</v>
      </c>
      <c r="C61" s="489">
        <f>C74</f>
        <v>0</v>
      </c>
      <c r="D61" s="471">
        <f>D74</f>
        <v>0</v>
      </c>
      <c r="E61" s="712" t="str">
        <f>IF($C$61&gt;$C$60,"Your required funding is greater than your eligible funding.","")</f>
        <v/>
      </c>
      <c r="F61" s="713"/>
      <c r="G61" s="713"/>
      <c r="H61" s="713"/>
      <c r="I61" s="457"/>
      <c r="J61" s="458"/>
      <c r="K61" s="458"/>
      <c r="M61" s="498"/>
    </row>
    <row r="62" spans="1:29" ht="15" thickBot="1" x14ac:dyDescent="0.4">
      <c r="A62" s="495"/>
      <c r="B62" s="461" t="s">
        <v>420</v>
      </c>
      <c r="C62" s="490" t="e">
        <f>IF($D$62=0,0,$D$62/$E$20)</f>
        <v>#DIV/0!</v>
      </c>
      <c r="D62" s="472" t="e">
        <f>MAX(0,IF(AND($C$51="Forgivable loan",'Proforma - Residential'!$G$89&gt;0,$C$56&lt;$E$56),0%,$D$75))</f>
        <v>#DIV/0!</v>
      </c>
      <c r="E62" s="699" t="e">
        <f>IF(AND(C51="Forgivable loan",'Project Budget '!C56&lt;1),"CMHC will not support a project with a DCR &lt;1.0. Consult with your CMHC Specialist.","")</f>
        <v>#DIV/0!</v>
      </c>
      <c r="F62" s="700"/>
      <c r="G62" s="700"/>
      <c r="H62" s="700"/>
      <c r="I62" s="700"/>
      <c r="J62" s="458"/>
      <c r="K62" s="458"/>
      <c r="M62" s="498"/>
    </row>
    <row r="63" spans="1:29" ht="15" thickBot="1" x14ac:dyDescent="0.4">
      <c r="A63" s="495"/>
      <c r="B63" s="464" t="s">
        <v>276</v>
      </c>
      <c r="C63" s="473">
        <f>C76</f>
        <v>0</v>
      </c>
      <c r="D63" s="474">
        <f>D76</f>
        <v>0</v>
      </c>
      <c r="E63" s="699" t="e">
        <f>IF(AND($C$51="Repayable loan",D62&lt;D61,C56&lt;1),"There is a funding gap; AHF funding is being capped. Please check minimum DCR requirements/Consult with your CMHC Specialist.",IF(AND($C$51="Repayable loan",D62&lt;D61,'Proforma - Residential'!G78='Proforma - Residential'!G85),"There is a funding gap; AHF funding is being capped at 85% of your property value. Consult with your CMHC Specialist.",""))</f>
        <v>#DIV/0!</v>
      </c>
      <c r="F63" s="700"/>
      <c r="G63" s="700"/>
      <c r="H63" s="700"/>
      <c r="I63" s="700"/>
      <c r="J63" s="700"/>
      <c r="K63" s="700"/>
      <c r="L63" s="700"/>
      <c r="M63" s="498"/>
    </row>
    <row r="64" spans="1:29" ht="18.5" x14ac:dyDescent="0.35">
      <c r="A64" s="495"/>
      <c r="B64" s="724" t="s">
        <v>277</v>
      </c>
      <c r="C64" s="724"/>
      <c r="D64" s="724"/>
      <c r="E64" s="724"/>
      <c r="F64" s="724"/>
      <c r="G64" s="457"/>
      <c r="H64" s="457"/>
      <c r="I64" s="457"/>
      <c r="J64" s="458"/>
      <c r="K64" s="458"/>
      <c r="M64" s="498"/>
    </row>
    <row r="65" spans="1:13" ht="19" thickBot="1" x14ac:dyDescent="0.4">
      <c r="A65" s="495"/>
      <c r="B65" s="475"/>
      <c r="C65" s="475"/>
      <c r="D65" s="475"/>
      <c r="E65" s="475"/>
      <c r="F65" s="475"/>
      <c r="G65" s="457"/>
      <c r="H65" s="457"/>
      <c r="I65" s="457"/>
      <c r="J65" s="458"/>
      <c r="K65" s="458"/>
      <c r="M65" s="498"/>
    </row>
    <row r="66" spans="1:13" x14ac:dyDescent="0.35">
      <c r="A66" s="495"/>
      <c r="B66" s="476" t="s">
        <v>278</v>
      </c>
      <c r="C66" s="477" t="s">
        <v>279</v>
      </c>
      <c r="D66" s="477" t="s">
        <v>280</v>
      </c>
      <c r="E66" s="457"/>
      <c r="F66" s="457"/>
      <c r="G66" s="457"/>
      <c r="H66" s="457"/>
      <c r="I66" s="457"/>
      <c r="J66" s="458"/>
      <c r="K66" s="458"/>
      <c r="M66" s="498"/>
    </row>
    <row r="67" spans="1:13" ht="15.5" x14ac:dyDescent="0.35">
      <c r="A67" s="495"/>
      <c r="B67" s="478" t="s">
        <v>397</v>
      </c>
      <c r="C67" s="479" t="e">
        <f>IF($D$62=0,0,E35+D62)</f>
        <v>#DIV/0!</v>
      </c>
      <c r="D67" s="480">
        <f>IF(ISERROR(C67/$E$20),0,C67/$E$20)</f>
        <v>0</v>
      </c>
      <c r="E67" s="481"/>
      <c r="F67" s="457"/>
      <c r="G67" s="457"/>
      <c r="H67" s="457"/>
      <c r="I67" s="457"/>
      <c r="J67" s="458"/>
      <c r="K67" s="458"/>
      <c r="M67" s="498"/>
    </row>
    <row r="68" spans="1:13" ht="15.5" x14ac:dyDescent="0.35">
      <c r="A68" s="495"/>
      <c r="B68" s="482" t="s">
        <v>82</v>
      </c>
      <c r="C68" s="483" t="e">
        <f>IF(C51="Repayable loan",D62,0)</f>
        <v>#DIV/0!</v>
      </c>
      <c r="D68" s="484">
        <f>IF(ISERROR(C68/$E$20),0,C68/$E$20)</f>
        <v>0</v>
      </c>
      <c r="E68" s="457"/>
      <c r="F68" s="457"/>
      <c r="G68" s="457"/>
      <c r="H68" s="457"/>
      <c r="I68" s="457"/>
      <c r="J68" s="458"/>
      <c r="K68" s="458"/>
      <c r="M68" s="498"/>
    </row>
    <row r="69" spans="1:13" ht="16" thickBot="1" x14ac:dyDescent="0.4">
      <c r="A69" s="495"/>
      <c r="B69" s="485" t="s">
        <v>83</v>
      </c>
      <c r="C69" s="486" t="e">
        <f>IF($D$62=0,0,IF(C51="Repayable loan",$E$35,$E$35+$D$62))</f>
        <v>#DIV/0!</v>
      </c>
      <c r="D69" s="487">
        <f>IF(ISERROR(C69/$E$20),0,C69/$E$20)</f>
        <v>0</v>
      </c>
      <c r="E69" s="457"/>
      <c r="F69" s="457"/>
      <c r="G69" s="457"/>
      <c r="H69" s="457"/>
      <c r="I69" s="457"/>
      <c r="J69" s="458"/>
      <c r="K69" s="458"/>
      <c r="M69" s="498"/>
    </row>
    <row r="70" spans="1:13" x14ac:dyDescent="0.35">
      <c r="A70" s="495"/>
      <c r="B70" s="27"/>
      <c r="C70" s="27"/>
      <c r="D70" s="27"/>
      <c r="E70" s="27"/>
      <c r="J70" s="33"/>
      <c r="M70" s="498"/>
    </row>
    <row r="71" spans="1:13" ht="18.649999999999999" customHeight="1" thickBot="1" x14ac:dyDescent="0.4">
      <c r="A71" s="495"/>
      <c r="B71" s="332"/>
      <c r="C71" s="333"/>
      <c r="D71" s="333"/>
      <c r="E71" s="361"/>
      <c r="F71" s="361"/>
      <c r="G71" s="361"/>
      <c r="H71" s="361"/>
      <c r="I71" s="361"/>
      <c r="J71" s="361"/>
      <c r="K71" s="361"/>
      <c r="M71" s="498"/>
    </row>
    <row r="72" spans="1:13" ht="29.5" customHeight="1" thickBot="1" x14ac:dyDescent="0.4">
      <c r="A72" s="495"/>
      <c r="B72" s="166" t="s">
        <v>281</v>
      </c>
      <c r="C72" s="313" t="s">
        <v>274</v>
      </c>
      <c r="D72" s="314" t="s">
        <v>275</v>
      </c>
      <c r="E72" s="725" t="s">
        <v>267</v>
      </c>
      <c r="F72" s="726"/>
      <c r="G72" s="315"/>
      <c r="H72" s="726" t="s">
        <v>269</v>
      </c>
      <c r="I72" s="727"/>
      <c r="J72" s="361"/>
      <c r="K72" s="361"/>
      <c r="M72" s="498"/>
    </row>
    <row r="73" spans="1:13" ht="18" customHeight="1" x14ac:dyDescent="0.35">
      <c r="A73" s="495"/>
      <c r="B73" s="316" t="s">
        <v>418</v>
      </c>
      <c r="C73" s="346">
        <f>IF('Scoring Grid'!K120="",0,IF(C51="Forgivable loan",'Scoring Grid'!$K$120,'Scoring Grid'!K120-'Scoring Grid'!K121))</f>
        <v>0</v>
      </c>
      <c r="D73" s="317">
        <f>IFERROR(C73*$E$20,0)</f>
        <v>0</v>
      </c>
      <c r="E73" s="349">
        <f>$H$6</f>
        <v>0</v>
      </c>
      <c r="F73" s="318">
        <f>E73*D73</f>
        <v>0</v>
      </c>
      <c r="G73" s="99"/>
      <c r="H73" s="351">
        <f>$I$6</f>
        <v>0</v>
      </c>
      <c r="I73" s="319">
        <f>H73*D73</f>
        <v>0</v>
      </c>
      <c r="J73" s="361"/>
      <c r="K73" s="361"/>
      <c r="M73" s="498"/>
    </row>
    <row r="74" spans="1:13" ht="18" customHeight="1" x14ac:dyDescent="0.35">
      <c r="A74" s="495"/>
      <c r="B74" s="320" t="s">
        <v>419</v>
      </c>
      <c r="C74" s="346">
        <f>IFERROR(D74/E20,0)</f>
        <v>0</v>
      </c>
      <c r="D74" s="321">
        <f>E37</f>
        <v>0</v>
      </c>
      <c r="E74" s="346">
        <f>E73</f>
        <v>0</v>
      </c>
      <c r="F74" s="146">
        <f>E74*D74</f>
        <v>0</v>
      </c>
      <c r="G74" s="99"/>
      <c r="H74" s="352">
        <f>H73</f>
        <v>0</v>
      </c>
      <c r="I74" s="322">
        <f>H74*D74</f>
        <v>0</v>
      </c>
      <c r="J74" s="361"/>
      <c r="K74" s="361"/>
      <c r="M74" s="498"/>
    </row>
    <row r="75" spans="1:13" ht="18.649999999999999" customHeight="1" thickBot="1" x14ac:dyDescent="0.4">
      <c r="A75" s="495"/>
      <c r="B75" s="323" t="s">
        <v>420</v>
      </c>
      <c r="C75" s="347">
        <f>IFERROR(D75/E20,0)</f>
        <v>0</v>
      </c>
      <c r="D75" s="324">
        <f>F75+I75</f>
        <v>0</v>
      </c>
      <c r="E75" s="350">
        <f>IFERROR(F75/D75,0)</f>
        <v>0</v>
      </c>
      <c r="F75" s="325">
        <f>IF($C$51="Repayable loan",'Proforma - Residential'!$G$102, 0)+IF($C$51="Forgivable loan", IF(F74&lt;F73,F74,F73),0)</f>
        <v>0</v>
      </c>
      <c r="G75" s="326"/>
      <c r="H75" s="353">
        <f>IFERROR(I75/D75,0)</f>
        <v>0</v>
      </c>
      <c r="I75" s="327">
        <f>IF($C$51="Repayable loan",'Proforma - Non-Residential'!$G$73,0)+ IF($C$51="Forgivable loan", IF(I74&lt;I73,I74,I73),0)</f>
        <v>0</v>
      </c>
      <c r="J75" s="361"/>
      <c r="K75" s="361"/>
      <c r="M75" s="498"/>
    </row>
    <row r="76" spans="1:13" ht="18.649999999999999" customHeight="1" thickBot="1" x14ac:dyDescent="0.4">
      <c r="A76" s="495"/>
      <c r="B76" s="328" t="s">
        <v>276</v>
      </c>
      <c r="C76" s="348">
        <f>IFERROR(D76/E20,0)</f>
        <v>0</v>
      </c>
      <c r="D76" s="329">
        <f>IF(E37-D75&lt;=0,0,E37-D75)</f>
        <v>0</v>
      </c>
      <c r="F76" s="13"/>
      <c r="J76" s="361"/>
      <c r="K76" s="361"/>
      <c r="M76" s="498"/>
    </row>
    <row r="77" spans="1:13" x14ac:dyDescent="0.35">
      <c r="A77" s="495"/>
      <c r="B77" s="330" t="s">
        <v>282</v>
      </c>
      <c r="D77" s="331"/>
      <c r="F77" s="13"/>
      <c r="J77" s="361"/>
      <c r="K77" s="361"/>
      <c r="M77" s="498"/>
    </row>
    <row r="78" spans="1:13" x14ac:dyDescent="0.35">
      <c r="A78" s="495"/>
      <c r="B78" s="330"/>
      <c r="D78" s="331"/>
      <c r="F78" s="13"/>
      <c r="J78" s="361"/>
      <c r="K78" s="361"/>
      <c r="M78" s="498"/>
    </row>
    <row r="79" spans="1:13" ht="15.5" x14ac:dyDescent="0.35">
      <c r="A79" s="495"/>
      <c r="B79" s="452"/>
      <c r="C79" s="452"/>
      <c r="D79" s="453"/>
      <c r="F79" s="13"/>
      <c r="J79" s="361"/>
      <c r="K79" s="361"/>
      <c r="M79" s="498"/>
    </row>
    <row r="80" spans="1:13" x14ac:dyDescent="0.35">
      <c r="A80" s="495"/>
      <c r="B80" s="504"/>
      <c r="M80" s="498"/>
    </row>
    <row r="81" spans="1:13" x14ac:dyDescent="0.35">
      <c r="A81" s="495"/>
      <c r="B81" s="504"/>
      <c r="M81" s="498"/>
    </row>
    <row r="82" spans="1:13" x14ac:dyDescent="0.35">
      <c r="A82" s="495"/>
      <c r="M82" s="498"/>
    </row>
    <row r="83" spans="1:13" x14ac:dyDescent="0.35">
      <c r="A83" s="495"/>
      <c r="M83" s="498"/>
    </row>
    <row r="84" spans="1:13" x14ac:dyDescent="0.35">
      <c r="A84" s="495"/>
      <c r="B84" s="505"/>
      <c r="M84" s="498"/>
    </row>
    <row r="85" spans="1:13" x14ac:dyDescent="0.35">
      <c r="A85" s="495"/>
      <c r="B85" s="505"/>
      <c r="M85" s="498"/>
    </row>
    <row r="86" spans="1:13" x14ac:dyDescent="0.35">
      <c r="A86" s="495"/>
      <c r="M86" s="498"/>
    </row>
    <row r="87" spans="1:13" x14ac:dyDescent="0.35">
      <c r="A87" s="495"/>
      <c r="M87" s="498"/>
    </row>
    <row r="88" spans="1:13" ht="22.9" customHeight="1" x14ac:dyDescent="0.35">
      <c r="A88" s="495"/>
      <c r="B88" s="96"/>
      <c r="C88" s="96"/>
      <c r="D88" s="96"/>
      <c r="E88" s="96"/>
      <c r="F88" s="96"/>
      <c r="G88" s="96"/>
      <c r="H88" s="96"/>
      <c r="I88" s="96"/>
      <c r="J88" s="96"/>
      <c r="K88" s="96"/>
      <c r="L88" s="96"/>
      <c r="M88" s="498"/>
    </row>
    <row r="89" spans="1:13" x14ac:dyDescent="0.35">
      <c r="A89" s="506"/>
      <c r="B89" s="65"/>
      <c r="C89" s="65"/>
      <c r="D89" s="65"/>
      <c r="E89" s="65"/>
      <c r="F89" s="65"/>
      <c r="G89" s="65"/>
      <c r="H89" s="65"/>
      <c r="I89" s="65"/>
      <c r="J89" s="65"/>
      <c r="K89" s="65"/>
      <c r="L89" s="65"/>
      <c r="M89" s="70"/>
    </row>
    <row r="96" spans="1:13" x14ac:dyDescent="0.35">
      <c r="E96" s="331"/>
    </row>
  </sheetData>
  <sheetProtection algorithmName="SHA-512" hashValue="9HNWuK/wPdXoPuy71YD4mgA3MbxL0a54ycTcOKTHxfwjukovpNjpKYxOxSDpO0UYwskOFblsazB0HQU7gKQ1fw==" saltValue="yDR/CYhPiDhlS5Bd+nbfsQ==" spinCount="100000" sheet="1" objects="1" scenarios="1"/>
  <dataConsolidate/>
  <mergeCells count="36">
    <mergeCell ref="E72:F72"/>
    <mergeCell ref="H72:I72"/>
    <mergeCell ref="A2:L2"/>
    <mergeCell ref="B41:K45"/>
    <mergeCell ref="H9:J9"/>
    <mergeCell ref="H30:J30"/>
    <mergeCell ref="H31:J31"/>
    <mergeCell ref="H32:J32"/>
    <mergeCell ref="H26:J26"/>
    <mergeCell ref="H27:J27"/>
    <mergeCell ref="H28:J28"/>
    <mergeCell ref="C50:D50"/>
    <mergeCell ref="C51:D51"/>
    <mergeCell ref="E51:H51"/>
    <mergeCell ref="H29:J29"/>
    <mergeCell ref="H22:J22"/>
    <mergeCell ref="H23:J23"/>
    <mergeCell ref="H24:J24"/>
    <mergeCell ref="H25:J25"/>
    <mergeCell ref="E62:I62"/>
    <mergeCell ref="B64:F64"/>
    <mergeCell ref="O6:V6"/>
    <mergeCell ref="O17:AC17"/>
    <mergeCell ref="O22:AC22"/>
    <mergeCell ref="O26:W26"/>
    <mergeCell ref="O38:AC38"/>
    <mergeCell ref="O40:AC40"/>
    <mergeCell ref="O51:AC51"/>
    <mergeCell ref="E63:L63"/>
    <mergeCell ref="C53:D53"/>
    <mergeCell ref="C54:D54"/>
    <mergeCell ref="C55:D55"/>
    <mergeCell ref="F55:K56"/>
    <mergeCell ref="C56:D56"/>
    <mergeCell ref="B48:L48"/>
    <mergeCell ref="E61:H61"/>
  </mergeCells>
  <conditionalFormatting sqref="B79:D79">
    <cfRule type="cellIs" dxfId="38" priority="21" operator="greaterThan">
      <formula>0</formula>
    </cfRule>
    <cfRule type="cellIs" dxfId="37" priority="22" operator="greaterThan">
      <formula>0</formula>
    </cfRule>
  </conditionalFormatting>
  <conditionalFormatting sqref="C63">
    <cfRule type="cellIs" dxfId="36" priority="19" operator="greaterThan">
      <formula>10000</formula>
    </cfRule>
  </conditionalFormatting>
  <conditionalFormatting sqref="C54:D54">
    <cfRule type="cellIs" dxfId="35" priority="18" operator="lessThan">
      <formula>$E$56</formula>
    </cfRule>
  </conditionalFormatting>
  <conditionalFormatting sqref="C54:D55">
    <cfRule type="containsText" dxfId="34" priority="2" operator="containsText" text="N/A">
      <formula>NOT(ISERROR(SEARCH("N/A",C54)))</formula>
    </cfRule>
    <cfRule type="cellIs" dxfId="33" priority="14" operator="greaterThan">
      <formula>$E$56</formula>
    </cfRule>
  </conditionalFormatting>
  <conditionalFormatting sqref="C55:D55">
    <cfRule type="cellIs" dxfId="32" priority="9" operator="equal">
      <formula>0</formula>
    </cfRule>
    <cfRule type="cellIs" dxfId="31" priority="13" operator="lessThan">
      <formula>$E$55</formula>
    </cfRule>
  </conditionalFormatting>
  <conditionalFormatting sqref="C56:D56">
    <cfRule type="cellIs" dxfId="30" priority="15" operator="lessThan">
      <formula>0.98</formula>
    </cfRule>
    <cfRule type="cellIs" dxfId="29" priority="16" operator="greaterThan">
      <formula>0.98</formula>
    </cfRule>
  </conditionalFormatting>
  <conditionalFormatting sqref="C76:D76">
    <cfRule type="cellIs" dxfId="28" priority="30" operator="greaterThan">
      <formula>0</formula>
    </cfRule>
    <cfRule type="cellIs" dxfId="27" priority="31" operator="greaterThan">
      <formula>0</formula>
    </cfRule>
  </conditionalFormatting>
  <conditionalFormatting sqref="D63">
    <cfRule type="cellIs" dxfId="26" priority="8" operator="greaterThan">
      <formula>1</formula>
    </cfRule>
    <cfRule type="cellIs" dxfId="25" priority="20" operator="lessThan">
      <formula>1</formula>
    </cfRule>
  </conditionalFormatting>
  <conditionalFormatting sqref="D76 D79">
    <cfRule type="cellIs" dxfId="24" priority="33" operator="greaterThan">
      <formula>0</formula>
    </cfRule>
    <cfRule type="cellIs" dxfId="23" priority="34" operator="greaterThan">
      <formula>100000</formula>
    </cfRule>
  </conditionalFormatting>
  <conditionalFormatting sqref="E33:E34">
    <cfRule type="containsErrors" dxfId="22" priority="47">
      <formula>ISERROR(E33)</formula>
    </cfRule>
  </conditionalFormatting>
  <conditionalFormatting sqref="E36:E39">
    <cfRule type="containsErrors" dxfId="21" priority="29">
      <formula>ISERROR(E36)</formula>
    </cfRule>
  </conditionalFormatting>
  <conditionalFormatting sqref="E51">
    <cfRule type="containsText" dxfId="20" priority="7" operator="containsText" text="Please complete">
      <formula>NOT(ISERROR(SEARCH("Please complete",E51)))</formula>
    </cfRule>
  </conditionalFormatting>
  <conditionalFormatting sqref="E61">
    <cfRule type="containsText" dxfId="19" priority="1" operator="containsText" text="required">
      <formula>NOT(ISERROR(SEARCH("required",E61)))</formula>
    </cfRule>
  </conditionalFormatting>
  <conditionalFormatting sqref="E62">
    <cfRule type="containsText" dxfId="18" priority="12" operator="containsText" text="project">
      <formula>NOT(ISERROR(SEARCH("project",E62)))</formula>
    </cfRule>
  </conditionalFormatting>
  <conditionalFormatting sqref="E63">
    <cfRule type="containsText" dxfId="17" priority="11" operator="containsText" text="NHCF">
      <formula>NOT(ISERROR(SEARCH("NHCF",E63)))</formula>
    </cfRule>
  </conditionalFormatting>
  <conditionalFormatting sqref="F55">
    <cfRule type="containsText" dxfId="16" priority="10" operator="containsText" text="non-res">
      <formula>NOT(ISERROR(SEARCH("non-res",F55)))</formula>
    </cfRule>
  </conditionalFormatting>
  <conditionalFormatting sqref="O22">
    <cfRule type="containsText" dxfId="15" priority="4" operator="containsText" text="Pass">
      <formula>NOT(ISERROR(SEARCH("Pass",O22)))</formula>
    </cfRule>
    <cfRule type="containsText" dxfId="14" priority="5" operator="containsText" text="FAIL">
      <formula>NOT(ISERROR(SEARCH("FAIL",O22)))</formula>
    </cfRule>
  </conditionalFormatting>
  <conditionalFormatting sqref="O22:AC22">
    <cfRule type="containsText" dxfId="13" priority="3" operator="containsText" text="N/A">
      <formula>NOT(ISERROR(SEARCH("N/A",O22)))</formula>
    </cfRule>
  </conditionalFormatting>
  <hyperlinks>
    <hyperlink ref="O40:AC40" r:id="rId1" display="Understanding your NHCF Funding (Click here to view the NHCF Funding Eligibility)" xr:uid="{00000000-0004-0000-0300-000000000000}"/>
  </hyperlinks>
  <pageMargins left="0.70866141732283472" right="0.70866141732283472" top="0.74803149606299213" bottom="0.74803149606299213" header="0.31496062992125984" footer="0.31496062992125984"/>
  <pageSetup scale="10" fitToHeight="0" orientation="portrait" r:id="rId2"/>
  <ignoredErrors>
    <ignoredError sqref="H19:I19 H10:I10 H12:I16 I1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PrevPage">
                <anchor moveWithCells="1" sizeWithCells="1">
                  <from>
                    <xdr:col>0</xdr:col>
                    <xdr:colOff>114300</xdr:colOff>
                    <xdr:row>79</xdr:row>
                    <xdr:rowOff>31750</xdr:rowOff>
                  </from>
                  <to>
                    <xdr:col>1</xdr:col>
                    <xdr:colOff>876300</xdr:colOff>
                    <xdr:row>80</xdr:row>
                    <xdr:rowOff>184150</xdr:rowOff>
                  </to>
                </anchor>
              </controlPr>
            </control>
          </mc:Choice>
        </mc:AlternateContent>
        <mc:AlternateContent xmlns:mc="http://schemas.openxmlformats.org/markup-compatibility/2006">
          <mc:Choice Requires="x14">
            <control shapeId="4098" r:id="rId6" name="Button 2">
              <controlPr defaultSize="0" print="0" autoFill="0" autoPict="0" macro="[0]!NextPage">
                <anchor moveWithCells="1" sizeWithCells="1">
                  <from>
                    <xdr:col>1</xdr:col>
                    <xdr:colOff>1174750</xdr:colOff>
                    <xdr:row>79</xdr:row>
                    <xdr:rowOff>31750</xdr:rowOff>
                  </from>
                  <to>
                    <xdr:col>1</xdr:col>
                    <xdr:colOff>2127250</xdr:colOff>
                    <xdr:row>80</xdr:row>
                    <xdr:rowOff>184150</xdr:rowOff>
                  </to>
                </anchor>
              </controlPr>
            </control>
          </mc:Choice>
        </mc:AlternateContent>
        <mc:AlternateContent xmlns:mc="http://schemas.openxmlformats.org/markup-compatibility/2006">
          <mc:Choice Requires="x14">
            <control shapeId="4099" r:id="rId7" name="Button 3">
              <controlPr defaultSize="0" print="0" autoFill="0" autoPict="0" macro="[0]!Reset_Page_PB">
                <anchor moveWithCells="1" sizeWithCells="1">
                  <from>
                    <xdr:col>0</xdr:col>
                    <xdr:colOff>146050</xdr:colOff>
                    <xdr:row>83</xdr:row>
                    <xdr:rowOff>19050</xdr:rowOff>
                  </from>
                  <to>
                    <xdr:col>1</xdr:col>
                    <xdr:colOff>895350</xdr:colOff>
                    <xdr:row>84</xdr:row>
                    <xdr:rowOff>184150</xdr:rowOff>
                  </to>
                </anchor>
              </controlPr>
            </control>
          </mc:Choice>
        </mc:AlternateContent>
        <mc:AlternateContent xmlns:mc="http://schemas.openxmlformats.org/markup-compatibility/2006">
          <mc:Choice Requires="x14">
            <control shapeId="4100" r:id="rId8" name="Button 4">
              <controlPr defaultSize="0" print="0" autoFill="0" autoPict="0" macro="[0]!Reset_Page_All">
                <anchor moveWithCells="1" sizeWithCells="1">
                  <from>
                    <xdr:col>1</xdr:col>
                    <xdr:colOff>1174750</xdr:colOff>
                    <xdr:row>83</xdr:row>
                    <xdr:rowOff>19050</xdr:rowOff>
                  </from>
                  <to>
                    <xdr:col>1</xdr:col>
                    <xdr:colOff>2127250</xdr:colOff>
                    <xdr:row>84</xdr:row>
                    <xdr:rowOff>184150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X129"/>
  <sheetViews>
    <sheetView showGridLines="0" topLeftCell="B74" zoomScale="80" zoomScaleNormal="80" workbookViewId="0">
      <selection activeCell="F83" sqref="F83"/>
    </sheetView>
  </sheetViews>
  <sheetFormatPr defaultColWidth="8.81640625" defaultRowHeight="14.5" x14ac:dyDescent="0.35"/>
  <cols>
    <col min="1" max="1" width="2.7265625" style="3" customWidth="1"/>
    <col min="2" max="2" width="56.7265625" style="3" customWidth="1"/>
    <col min="3" max="3" width="15.81640625" style="3" customWidth="1"/>
    <col min="4" max="4" width="15.26953125" style="3" customWidth="1"/>
    <col min="5" max="5" width="25.1796875" style="3" customWidth="1"/>
    <col min="6" max="6" width="25.453125" style="3" customWidth="1"/>
    <col min="7" max="7" width="27.54296875" customWidth="1"/>
    <col min="8" max="8" width="3.7265625" style="3" customWidth="1"/>
    <col min="9" max="9" width="42.26953125" customWidth="1"/>
    <col min="10" max="10" width="12.26953125" style="3" customWidth="1"/>
    <col min="11" max="11" width="13.7265625" style="3" customWidth="1"/>
    <col min="12" max="12" width="2.7265625" style="3" customWidth="1"/>
    <col min="13" max="13" width="4.7265625" style="3" customWidth="1"/>
    <col min="14" max="14" width="10.26953125" style="3" customWidth="1"/>
    <col min="15" max="15" width="10.1796875" style="3" customWidth="1"/>
    <col min="16" max="16" width="10.26953125" style="3" customWidth="1"/>
    <col min="17" max="20" width="8.81640625" style="3"/>
    <col min="21" max="21" width="40" style="3" customWidth="1"/>
    <col min="22" max="23" width="8.81640625" style="3"/>
    <col min="24" max="24" width="21.26953125" style="3" customWidth="1"/>
    <col min="25" max="16384" width="8.81640625" style="3"/>
  </cols>
  <sheetData>
    <row r="1" spans="1:24" customFormat="1" ht="15.5" x14ac:dyDescent="0.35">
      <c r="A1" s="89" t="s">
        <v>10</v>
      </c>
      <c r="B1" s="92"/>
      <c r="C1" s="92"/>
      <c r="L1" s="509"/>
    </row>
    <row r="2" spans="1:24" customFormat="1" ht="26" x14ac:dyDescent="0.6">
      <c r="A2" s="728" t="s">
        <v>283</v>
      </c>
      <c r="B2" s="729"/>
      <c r="C2" s="729"/>
      <c r="D2" s="729"/>
      <c r="E2" s="729"/>
      <c r="F2" s="729"/>
      <c r="G2" s="729"/>
      <c r="H2" s="729"/>
      <c r="I2" s="729"/>
      <c r="J2" s="729"/>
      <c r="K2" s="729"/>
      <c r="L2" s="492"/>
      <c r="M2" s="258"/>
      <c r="N2" s="404" t="s">
        <v>11</v>
      </c>
      <c r="O2" s="414"/>
      <c r="P2" s="547"/>
      <c r="Q2" s="547"/>
      <c r="R2" s="547"/>
      <c r="S2" s="547"/>
      <c r="T2" s="547"/>
      <c r="U2" s="547"/>
      <c r="V2" s="547"/>
      <c r="W2" s="547"/>
      <c r="X2" s="547"/>
    </row>
    <row r="3" spans="1:24" s="4" customFormat="1" ht="19" thickBot="1" x14ac:dyDescent="0.5">
      <c r="A3" s="536"/>
      <c r="B3" s="5"/>
      <c r="C3" s="5"/>
      <c r="D3" s="5"/>
      <c r="E3" s="5"/>
      <c r="F3" s="5"/>
      <c r="G3" s="5"/>
      <c r="H3" s="5"/>
      <c r="I3" s="5"/>
      <c r="J3" s="5"/>
      <c r="K3" s="5"/>
      <c r="L3" s="537"/>
      <c r="N3" s="405" t="s">
        <v>284</v>
      </c>
      <c r="O3" s="414"/>
      <c r="P3" s="548"/>
      <c r="Q3" s="548"/>
      <c r="R3" s="548"/>
      <c r="S3" s="548"/>
      <c r="T3" s="548"/>
      <c r="U3" s="548"/>
      <c r="V3" s="548"/>
      <c r="W3" s="548"/>
      <c r="X3" s="548"/>
    </row>
    <row r="4" spans="1:24" s="7" customFormat="1" ht="18.5" x14ac:dyDescent="0.45">
      <c r="A4" s="538"/>
      <c r="B4" s="126" t="s">
        <v>285</v>
      </c>
      <c r="C4" s="354">
        <f>'Project Budget '!H6</f>
        <v>0</v>
      </c>
      <c r="D4" s="8"/>
      <c r="E4" s="8"/>
      <c r="F4" s="8"/>
      <c r="G4" s="8"/>
      <c r="H4" s="8"/>
      <c r="I4" s="8"/>
      <c r="J4" s="8"/>
      <c r="K4" s="8"/>
      <c r="L4" s="539"/>
      <c r="N4" s="405" t="s">
        <v>286</v>
      </c>
      <c r="O4" s="4"/>
      <c r="P4" s="4"/>
      <c r="Q4" s="4"/>
      <c r="R4" s="4"/>
      <c r="S4" s="4"/>
      <c r="T4" s="4"/>
      <c r="U4" s="4"/>
      <c r="V4" s="4"/>
      <c r="W4" s="4"/>
      <c r="X4" s="4"/>
    </row>
    <row r="5" spans="1:24" s="7" customFormat="1" ht="15" thickBot="1" x14ac:dyDescent="0.4">
      <c r="A5" s="538"/>
      <c r="B5" s="127" t="s">
        <v>287</v>
      </c>
      <c r="C5" s="128">
        <f>'Rents &amp; Affordability'!D53</f>
        <v>0</v>
      </c>
      <c r="D5" s="8"/>
      <c r="E5" s="8"/>
      <c r="F5" s="8"/>
      <c r="G5" s="8"/>
      <c r="H5" s="8"/>
      <c r="I5" s="8"/>
      <c r="J5" s="8"/>
      <c r="K5" s="8"/>
      <c r="L5" s="539"/>
    </row>
    <row r="6" spans="1:24" s="7" customFormat="1" ht="18.5" x14ac:dyDescent="0.45">
      <c r="A6" s="538"/>
      <c r="B6" s="6"/>
      <c r="C6" s="8"/>
      <c r="D6" s="8"/>
      <c r="E6" s="8"/>
      <c r="F6" s="8"/>
      <c r="G6" s="8"/>
      <c r="H6" s="8"/>
      <c r="I6" s="8"/>
      <c r="J6" s="8"/>
      <c r="K6" s="8"/>
      <c r="L6" s="539"/>
      <c r="N6" s="645" t="s">
        <v>121</v>
      </c>
      <c r="O6" s="646"/>
      <c r="P6" s="646"/>
      <c r="Q6" s="646"/>
      <c r="R6" s="646"/>
      <c r="S6" s="646"/>
      <c r="T6" s="646"/>
      <c r="U6" s="646"/>
      <c r="V6" s="646"/>
      <c r="W6" s="646"/>
      <c r="X6" s="647"/>
    </row>
    <row r="7" spans="1:24" ht="21" customHeight="1" x14ac:dyDescent="0.45">
      <c r="A7" s="536"/>
      <c r="B7" s="510" t="s">
        <v>202</v>
      </c>
      <c r="C7" s="511"/>
      <c r="D7" s="512"/>
      <c r="E7" s="512"/>
      <c r="F7" s="511"/>
      <c r="G7" s="513"/>
      <c r="H7" s="510"/>
      <c r="I7" s="514"/>
      <c r="J7" s="511"/>
      <c r="K7" s="511"/>
      <c r="L7" s="537"/>
      <c r="N7" s="549" t="s">
        <v>122</v>
      </c>
      <c r="O7" s="410"/>
      <c r="P7" s="410"/>
      <c r="Q7" s="411"/>
      <c r="R7" s="411"/>
      <c r="S7" s="411"/>
      <c r="T7" s="411"/>
      <c r="U7" s="411"/>
      <c r="V7" s="411"/>
      <c r="W7" s="411"/>
      <c r="X7" s="412"/>
    </row>
    <row r="8" spans="1:24" ht="30.5" x14ac:dyDescent="0.5">
      <c r="A8" s="536"/>
      <c r="B8" s="27"/>
      <c r="C8" s="2"/>
      <c r="D8" s="179" t="s">
        <v>288</v>
      </c>
      <c r="E8" s="178" t="s">
        <v>289</v>
      </c>
      <c r="F8" s="184" t="s">
        <v>290</v>
      </c>
      <c r="G8" s="11"/>
      <c r="H8" s="27"/>
      <c r="I8" s="44"/>
      <c r="J8" s="2"/>
      <c r="K8" s="2"/>
      <c r="L8" s="537"/>
      <c r="N8" s="444" t="s">
        <v>291</v>
      </c>
      <c r="O8" s="410"/>
      <c r="P8" s="410"/>
      <c r="Q8" s="411"/>
      <c r="R8" s="411"/>
      <c r="S8" s="411"/>
      <c r="T8" s="411"/>
      <c r="U8" s="411"/>
      <c r="V8" s="411"/>
      <c r="W8" s="411"/>
      <c r="X8" s="412"/>
    </row>
    <row r="9" spans="1:24" ht="18.5" x14ac:dyDescent="0.45">
      <c r="A9" s="536"/>
      <c r="B9" s="6" t="s">
        <v>208</v>
      </c>
      <c r="C9" s="6"/>
      <c r="D9" s="180">
        <f>IF($C$5=0,0,E9/$C$5)</f>
        <v>0</v>
      </c>
      <c r="E9" s="181">
        <f>C$4*'Project Budget '!E10</f>
        <v>0</v>
      </c>
      <c r="F9" s="304"/>
      <c r="G9" s="2"/>
      <c r="H9" s="8"/>
      <c r="J9" s="6"/>
      <c r="K9" s="6"/>
      <c r="L9" s="537"/>
      <c r="N9" s="550" t="s">
        <v>128</v>
      </c>
      <c r="O9" s="414"/>
      <c r="P9" s="414"/>
      <c r="Q9" s="411"/>
      <c r="R9" s="411"/>
      <c r="S9" s="411"/>
      <c r="T9" s="411"/>
      <c r="U9" s="411"/>
      <c r="V9" s="411"/>
      <c r="W9" s="411"/>
      <c r="X9" s="412"/>
    </row>
    <row r="10" spans="1:24" ht="18.5" x14ac:dyDescent="0.45">
      <c r="A10" s="536"/>
      <c r="B10" s="6" t="s">
        <v>211</v>
      </c>
      <c r="C10" s="6"/>
      <c r="D10" s="181">
        <f t="shared" ref="D10:D19" si="0">IF($C$5=0,0,E10/$C$5)</f>
        <v>0</v>
      </c>
      <c r="E10" s="181">
        <f>C$4*'Project Budget '!E11</f>
        <v>0</v>
      </c>
      <c r="F10" s="304"/>
      <c r="G10" s="2"/>
      <c r="H10" s="6"/>
      <c r="J10" s="6"/>
      <c r="K10" s="6"/>
      <c r="L10" s="537"/>
      <c r="N10" s="551" t="s">
        <v>292</v>
      </c>
      <c r="O10" s="414"/>
      <c r="P10" s="414"/>
      <c r="Q10" s="411"/>
      <c r="R10" s="411"/>
      <c r="S10" s="411"/>
      <c r="T10" s="411"/>
      <c r="U10" s="411"/>
      <c r="V10" s="411"/>
      <c r="W10" s="411"/>
      <c r="X10" s="412"/>
    </row>
    <row r="11" spans="1:24" ht="18.5" x14ac:dyDescent="0.45">
      <c r="A11" s="536"/>
      <c r="B11" s="6" t="s">
        <v>214</v>
      </c>
      <c r="C11" s="6"/>
      <c r="D11" s="181">
        <f t="shared" si="0"/>
        <v>0</v>
      </c>
      <c r="E11" s="181">
        <f>C$4*'Project Budget '!E12</f>
        <v>0</v>
      </c>
      <c r="F11" s="304"/>
      <c r="G11" s="2"/>
      <c r="H11" s="6"/>
      <c r="J11" s="6"/>
      <c r="K11" s="6"/>
      <c r="L11" s="537"/>
      <c r="N11" s="415" t="s">
        <v>136</v>
      </c>
      <c r="O11" s="416"/>
      <c r="P11" s="416"/>
      <c r="Q11" s="417"/>
      <c r="R11" s="417"/>
      <c r="S11" s="417"/>
      <c r="T11" s="417"/>
      <c r="U11" s="417"/>
      <c r="V11" s="417"/>
      <c r="W11" s="417"/>
      <c r="X11" s="418"/>
    </row>
    <row r="12" spans="1:24" x14ac:dyDescent="0.35">
      <c r="A12" s="536"/>
      <c r="B12" s="6" t="s">
        <v>217</v>
      </c>
      <c r="C12" s="6"/>
      <c r="D12" s="181">
        <f t="shared" si="0"/>
        <v>0</v>
      </c>
      <c r="E12" s="181">
        <f>C$4*'Project Budget '!E13</f>
        <v>0</v>
      </c>
      <c r="F12" s="304"/>
      <c r="G12" s="2"/>
      <c r="H12" s="6"/>
      <c r="J12" s="6"/>
      <c r="K12" s="6"/>
      <c r="L12" s="537"/>
    </row>
    <row r="13" spans="1:24" ht="18.5" x14ac:dyDescent="0.45">
      <c r="A13" s="536"/>
      <c r="B13" s="6" t="s">
        <v>293</v>
      </c>
      <c r="C13" s="6"/>
      <c r="D13" s="181">
        <f t="shared" si="0"/>
        <v>0</v>
      </c>
      <c r="E13" s="181">
        <f>C$4*'Project Budget '!E14</f>
        <v>0</v>
      </c>
      <c r="F13" s="304"/>
      <c r="G13" s="2"/>
      <c r="H13" s="6"/>
      <c r="J13" s="6"/>
      <c r="K13" s="6"/>
      <c r="L13" s="537"/>
      <c r="N13" s="405" t="s">
        <v>294</v>
      </c>
    </row>
    <row r="14" spans="1:24" ht="18.5" x14ac:dyDescent="0.45">
      <c r="A14" s="536"/>
      <c r="B14" s="37" t="s">
        <v>221</v>
      </c>
      <c r="C14" s="6"/>
      <c r="D14" s="181">
        <f t="shared" si="0"/>
        <v>0</v>
      </c>
      <c r="E14" s="181">
        <f>C$4*'Project Budget '!E15</f>
        <v>0</v>
      </c>
      <c r="F14" s="304"/>
      <c r="G14" s="2"/>
      <c r="H14" s="6"/>
      <c r="J14" s="6"/>
      <c r="K14" s="6"/>
      <c r="L14" s="537"/>
      <c r="N14" s="405" t="s">
        <v>295</v>
      </c>
    </row>
    <row r="15" spans="1:24" ht="18.5" x14ac:dyDescent="0.45">
      <c r="A15" s="536"/>
      <c r="B15" s="37" t="str">
        <f>'Project Budget '!B16</f>
        <v>Other (describe)</v>
      </c>
      <c r="C15" s="6"/>
      <c r="D15" s="181">
        <f t="shared" si="0"/>
        <v>0</v>
      </c>
      <c r="E15" s="181">
        <f>C$4*'Project Budget '!E16</f>
        <v>0</v>
      </c>
      <c r="F15" s="304"/>
      <c r="G15" s="2"/>
      <c r="H15" s="6"/>
      <c r="J15" s="6"/>
      <c r="K15" s="6"/>
      <c r="L15" s="537"/>
      <c r="N15" s="405" t="s">
        <v>296</v>
      </c>
    </row>
    <row r="16" spans="1:24" x14ac:dyDescent="0.35">
      <c r="A16" s="536"/>
      <c r="B16" s="37" t="str">
        <f>'Project Budget '!B17</f>
        <v>Other (describe)</v>
      </c>
      <c r="C16" s="6"/>
      <c r="D16" s="181">
        <f t="shared" ref="D16:D17" si="1">IF($C$5=0,0,E16/$C$5)</f>
        <v>0</v>
      </c>
      <c r="E16" s="181">
        <f>C$4*'Project Budget '!E17</f>
        <v>0</v>
      </c>
      <c r="F16" s="304"/>
      <c r="G16" s="2"/>
      <c r="H16" s="6"/>
      <c r="J16" s="6"/>
      <c r="K16" s="6"/>
      <c r="L16" s="537"/>
    </row>
    <row r="17" spans="1:20" x14ac:dyDescent="0.35">
      <c r="A17" s="536"/>
      <c r="B17" s="37" t="str">
        <f>'Project Budget '!B18</f>
        <v>Other (describe)</v>
      </c>
      <c r="C17" s="6"/>
      <c r="D17" s="181">
        <f t="shared" si="1"/>
        <v>0</v>
      </c>
      <c r="E17" s="181">
        <f>C$4*'Project Budget '!E18</f>
        <v>0</v>
      </c>
      <c r="F17" s="304"/>
      <c r="G17" s="2"/>
      <c r="H17" s="6"/>
      <c r="J17" s="6"/>
      <c r="K17" s="6"/>
      <c r="L17" s="537"/>
    </row>
    <row r="18" spans="1:20" ht="16" x14ac:dyDescent="0.5">
      <c r="A18" s="536"/>
      <c r="B18" s="37" t="str">
        <f>'Project Budget '!B19</f>
        <v>Other (describe)</v>
      </c>
      <c r="C18" s="6"/>
      <c r="D18" s="182">
        <f t="shared" si="0"/>
        <v>0</v>
      </c>
      <c r="E18" s="182">
        <f>C$4*'Project Budget '!E19</f>
        <v>0</v>
      </c>
      <c r="F18" s="304"/>
      <c r="G18" s="10"/>
      <c r="H18" s="12"/>
      <c r="I18" s="12"/>
      <c r="J18" s="6"/>
      <c r="K18" s="6"/>
      <c r="L18" s="537"/>
    </row>
    <row r="19" spans="1:20" ht="15" thickBot="1" x14ac:dyDescent="0.4">
      <c r="A19" s="536"/>
      <c r="B19" s="79" t="s">
        <v>297</v>
      </c>
      <c r="C19" s="79"/>
      <c r="D19" s="183">
        <f t="shared" si="0"/>
        <v>0</v>
      </c>
      <c r="E19" s="183">
        <f>SUM(E9:E18)</f>
        <v>0</v>
      </c>
      <c r="F19" s="6"/>
      <c r="G19" s="2"/>
      <c r="H19" s="6"/>
      <c r="I19" s="13"/>
      <c r="J19" s="6"/>
      <c r="K19" s="6"/>
      <c r="L19" s="537"/>
    </row>
    <row r="20" spans="1:20" ht="15.5" thickTop="1" thickBot="1" x14ac:dyDescent="0.4">
      <c r="A20" s="536"/>
      <c r="B20" s="6"/>
      <c r="C20" s="6"/>
      <c r="D20" s="6"/>
      <c r="E20" s="6"/>
      <c r="F20" s="6"/>
      <c r="G20" s="6"/>
      <c r="H20" s="6"/>
      <c r="J20" s="6"/>
      <c r="K20" s="6"/>
      <c r="L20" s="537"/>
    </row>
    <row r="21" spans="1:20" ht="15.75" customHeight="1" x14ac:dyDescent="0.35">
      <c r="A21" s="536"/>
      <c r="B21" s="129" t="s">
        <v>421</v>
      </c>
      <c r="C21" s="130">
        <f>E19*('Project Budget '!C73)</f>
        <v>0</v>
      </c>
      <c r="D21" s="133" t="s">
        <v>298</v>
      </c>
      <c r="E21" s="6"/>
      <c r="F21" s="6"/>
      <c r="G21" s="6"/>
      <c r="H21" s="6"/>
      <c r="J21" s="6"/>
      <c r="K21" s="6"/>
      <c r="L21" s="537"/>
    </row>
    <row r="22" spans="1:20" s="15" customFormat="1" ht="15" thickBot="1" x14ac:dyDescent="0.4">
      <c r="A22" s="540"/>
      <c r="B22" s="131" t="s">
        <v>419</v>
      </c>
      <c r="C22" s="132">
        <f>'Project Budget '!F74</f>
        <v>0</v>
      </c>
      <c r="D22" s="14"/>
      <c r="E22" s="14"/>
      <c r="F22" s="25"/>
      <c r="G22" s="16"/>
      <c r="H22" s="14"/>
      <c r="I22"/>
      <c r="J22" s="14"/>
      <c r="K22" s="14"/>
      <c r="L22" s="541"/>
    </row>
    <row r="23" spans="1:20" s="15" customFormat="1" x14ac:dyDescent="0.35">
      <c r="A23" s="540"/>
      <c r="B23" s="6"/>
      <c r="C23" s="14"/>
      <c r="D23" s="14"/>
      <c r="E23" s="14"/>
      <c r="F23" s="11"/>
      <c r="G23" s="14"/>
      <c r="H23" s="14"/>
      <c r="I23" s="754"/>
      <c r="J23" s="754"/>
      <c r="K23" s="10"/>
      <c r="L23" s="541"/>
    </row>
    <row r="24" spans="1:20" ht="21.5" x14ac:dyDescent="0.35">
      <c r="A24" s="536"/>
      <c r="B24" s="510" t="s">
        <v>299</v>
      </c>
      <c r="C24" s="511"/>
      <c r="D24" s="512"/>
      <c r="E24" s="512"/>
      <c r="F24" s="511"/>
      <c r="G24" s="513"/>
      <c r="H24" s="510"/>
      <c r="I24" s="514"/>
      <c r="J24" s="511"/>
      <c r="K24" s="511"/>
      <c r="L24" s="537"/>
      <c r="M24"/>
      <c r="N24"/>
      <c r="O24"/>
      <c r="P24"/>
      <c r="Q24"/>
      <c r="R24"/>
    </row>
    <row r="25" spans="1:20" ht="29" x14ac:dyDescent="0.35">
      <c r="A25" s="536"/>
      <c r="B25" s="27"/>
      <c r="C25"/>
      <c r="D25"/>
      <c r="E25"/>
      <c r="F25"/>
      <c r="G25" s="149" t="s">
        <v>135</v>
      </c>
      <c r="H25" s="11"/>
      <c r="I25" s="184" t="s">
        <v>290</v>
      </c>
      <c r="J25" s="43"/>
      <c r="K25" s="29"/>
      <c r="L25" s="537"/>
      <c r="M25"/>
      <c r="N25"/>
      <c r="O25"/>
      <c r="P25"/>
      <c r="Q25"/>
      <c r="R25"/>
    </row>
    <row r="26" spans="1:20" x14ac:dyDescent="0.35">
      <c r="A26" s="536"/>
      <c r="B26" s="8" t="s">
        <v>300</v>
      </c>
      <c r="C26"/>
      <c r="D26" s="6"/>
      <c r="E26" s="6"/>
      <c r="F26" s="11"/>
      <c r="G26" s="117">
        <f>'Rents &amp; Affordability'!J52</f>
        <v>0</v>
      </c>
      <c r="H26" s="17"/>
      <c r="I26" s="304"/>
      <c r="J26"/>
      <c r="K26"/>
      <c r="L26" s="537"/>
      <c r="M26"/>
      <c r="N26"/>
      <c r="O26"/>
      <c r="P26"/>
      <c r="Q26"/>
      <c r="R26"/>
      <c r="S26"/>
      <c r="T26"/>
    </row>
    <row r="27" spans="1:20" x14ac:dyDescent="0.35">
      <c r="A27" s="536"/>
      <c r="B27" s="222" t="s">
        <v>301</v>
      </c>
      <c r="C27" s="6"/>
      <c r="D27" s="6"/>
      <c r="E27" s="6"/>
      <c r="F27" s="11"/>
      <c r="G27" s="93"/>
      <c r="H27" s="19"/>
      <c r="I27" s="304"/>
      <c r="J27"/>
      <c r="K27"/>
      <c r="L27" s="537"/>
      <c r="M27"/>
      <c r="N27"/>
      <c r="O27"/>
      <c r="P27"/>
      <c r="Q27"/>
      <c r="R27"/>
      <c r="S27"/>
      <c r="T27"/>
    </row>
    <row r="28" spans="1:20" ht="16" x14ac:dyDescent="0.5">
      <c r="A28" s="536"/>
      <c r="B28" s="581" t="s">
        <v>302</v>
      </c>
      <c r="C28" s="581"/>
      <c r="D28" s="581"/>
      <c r="E28" s="581"/>
      <c r="F28" s="581"/>
      <c r="G28" s="582">
        <f>G26*G27</f>
        <v>0</v>
      </c>
      <c r="H28" s="12"/>
      <c r="I28" s="304"/>
      <c r="J28"/>
      <c r="K28"/>
      <c r="L28" s="537"/>
      <c r="M28"/>
      <c r="N28"/>
      <c r="O28"/>
      <c r="P28"/>
      <c r="Q28"/>
      <c r="R28"/>
      <c r="S28"/>
      <c r="T28"/>
    </row>
    <row r="29" spans="1:20" ht="15" thickBot="1" x14ac:dyDescent="0.4">
      <c r="A29" s="536"/>
      <c r="B29" s="79" t="s">
        <v>303</v>
      </c>
      <c r="C29" s="79"/>
      <c r="D29" s="79"/>
      <c r="E29" s="79"/>
      <c r="F29" s="79"/>
      <c r="G29" s="113">
        <f>G26-G28</f>
        <v>0</v>
      </c>
      <c r="H29" s="6"/>
      <c r="I29" s="304"/>
      <c r="J29"/>
      <c r="K29"/>
      <c r="L29" s="537"/>
    </row>
    <row r="30" spans="1:20" ht="16.5" customHeight="1" thickTop="1" x14ac:dyDescent="0.35">
      <c r="A30" s="536"/>
      <c r="B30" s="6"/>
      <c r="C30" s="6"/>
      <c r="D30" s="6"/>
      <c r="E30" s="6"/>
      <c r="F30" s="11"/>
      <c r="G30" s="6"/>
      <c r="H30" s="6"/>
      <c r="J30"/>
      <c r="K30"/>
      <c r="L30" s="537"/>
    </row>
    <row r="31" spans="1:20" ht="21.5" x14ac:dyDescent="0.35">
      <c r="A31" s="536"/>
      <c r="B31" s="510" t="s">
        <v>304</v>
      </c>
      <c r="C31" s="511"/>
      <c r="D31" s="512"/>
      <c r="E31" s="512"/>
      <c r="F31" s="511"/>
      <c r="G31" s="513"/>
      <c r="H31" s="510"/>
      <c r="I31" s="514"/>
      <c r="J31" s="511"/>
      <c r="K31" s="511"/>
      <c r="L31" s="537"/>
    </row>
    <row r="32" spans="1:20" ht="30.5" x14ac:dyDescent="0.5">
      <c r="A32" s="536"/>
      <c r="B32" s="27"/>
      <c r="C32" s="636" t="s">
        <v>305</v>
      </c>
      <c r="D32" s="636" t="s">
        <v>306</v>
      </c>
      <c r="E32" s="6"/>
      <c r="F32" s="2"/>
      <c r="G32" s="6"/>
      <c r="H32" s="6"/>
      <c r="I32" s="184" t="s">
        <v>290</v>
      </c>
      <c r="J32" s="6"/>
      <c r="K32" s="6"/>
      <c r="L32" s="537"/>
    </row>
    <row r="33" spans="1:12" x14ac:dyDescent="0.35">
      <c r="A33" s="536"/>
      <c r="B33" s="6" t="s">
        <v>307</v>
      </c>
      <c r="C33" s="87"/>
      <c r="D33" s="87"/>
      <c r="E33" s="6"/>
      <c r="F33" s="6"/>
      <c r="G33" s="117">
        <f>D33*C33*12</f>
        <v>0</v>
      </c>
      <c r="H33" s="6"/>
      <c r="I33" s="304"/>
      <c r="J33" s="6"/>
      <c r="K33" s="6"/>
      <c r="L33" s="537"/>
    </row>
    <row r="34" spans="1:12" x14ac:dyDescent="0.35">
      <c r="A34" s="536"/>
      <c r="B34" s="6" t="s">
        <v>308</v>
      </c>
      <c r="C34" s="87"/>
      <c r="D34" s="87"/>
      <c r="E34" s="6"/>
      <c r="F34" s="6"/>
      <c r="G34" s="117">
        <f>D34*C34*12</f>
        <v>0</v>
      </c>
      <c r="H34" s="6"/>
      <c r="I34" s="304"/>
      <c r="J34" s="6"/>
      <c r="K34" s="6"/>
      <c r="L34" s="537"/>
    </row>
    <row r="35" spans="1:12" ht="16" x14ac:dyDescent="0.5">
      <c r="A35" s="536"/>
      <c r="B35" s="6" t="s">
        <v>309</v>
      </c>
      <c r="C35" s="6"/>
      <c r="D35" s="6"/>
      <c r="E35" s="6"/>
      <c r="F35" s="6"/>
      <c r="G35" s="120"/>
      <c r="H35" s="20"/>
      <c r="I35" s="304"/>
      <c r="J35" s="6"/>
      <c r="K35" s="6"/>
      <c r="L35" s="537"/>
    </row>
    <row r="36" spans="1:12" x14ac:dyDescent="0.35">
      <c r="A36" s="536"/>
      <c r="B36" s="6" t="s">
        <v>153</v>
      </c>
      <c r="C36" s="6"/>
      <c r="D36" s="6"/>
      <c r="E36" s="6"/>
      <c r="F36" s="6"/>
      <c r="G36" s="117">
        <f>SUM(G33:G35)</f>
        <v>0</v>
      </c>
      <c r="H36" s="6"/>
      <c r="I36" s="304"/>
      <c r="J36" s="6"/>
      <c r="K36" s="6"/>
      <c r="L36" s="537"/>
    </row>
    <row r="37" spans="1:12" x14ac:dyDescent="0.35">
      <c r="A37" s="536"/>
      <c r="B37" s="222" t="s">
        <v>310</v>
      </c>
      <c r="C37" s="6"/>
      <c r="D37" s="6"/>
      <c r="E37" s="6"/>
      <c r="F37" s="6"/>
      <c r="G37" s="233">
        <f>G27</f>
        <v>0</v>
      </c>
      <c r="H37" s="19"/>
      <c r="I37" s="304"/>
      <c r="J37" s="6"/>
      <c r="K37" s="6"/>
      <c r="L37" s="537"/>
    </row>
    <row r="38" spans="1:12" ht="16" x14ac:dyDescent="0.5">
      <c r="A38" s="536"/>
      <c r="B38" s="6" t="s">
        <v>302</v>
      </c>
      <c r="C38" s="6"/>
      <c r="D38" s="6"/>
      <c r="E38" s="6"/>
      <c r="F38" s="6"/>
      <c r="G38" s="118">
        <f>G37*G36</f>
        <v>0</v>
      </c>
      <c r="H38" s="12"/>
      <c r="I38" s="304"/>
      <c r="J38" s="6"/>
      <c r="K38" s="6"/>
      <c r="L38" s="537"/>
    </row>
    <row r="39" spans="1:12" ht="15" thickBot="1" x14ac:dyDescent="0.4">
      <c r="A39" s="536"/>
      <c r="B39" s="79" t="s">
        <v>311</v>
      </c>
      <c r="C39" s="79"/>
      <c r="D39" s="79"/>
      <c r="E39" s="79"/>
      <c r="F39" s="79"/>
      <c r="G39" s="113">
        <f>G36-G38</f>
        <v>0</v>
      </c>
      <c r="H39" s="6"/>
      <c r="I39" s="304"/>
      <c r="J39" s="6"/>
      <c r="K39" s="6"/>
      <c r="L39" s="537"/>
    </row>
    <row r="40" spans="1:12" ht="10.5" customHeight="1" thickTop="1" x14ac:dyDescent="0.35">
      <c r="A40" s="536"/>
      <c r="B40" s="6"/>
      <c r="C40" s="6"/>
      <c r="D40" s="6"/>
      <c r="E40" s="6"/>
      <c r="F40" s="6"/>
      <c r="G40" s="6"/>
      <c r="H40" s="6"/>
      <c r="J40" s="6"/>
      <c r="K40" s="6"/>
      <c r="L40" s="537"/>
    </row>
    <row r="41" spans="1:12" ht="21.5" x14ac:dyDescent="0.35">
      <c r="A41" s="536"/>
      <c r="B41" s="510" t="s">
        <v>312</v>
      </c>
      <c r="C41" s="511"/>
      <c r="D41" s="512"/>
      <c r="E41" s="512"/>
      <c r="F41" s="511"/>
      <c r="G41" s="513"/>
      <c r="H41" s="510"/>
      <c r="I41" s="514"/>
      <c r="J41" s="511"/>
      <c r="K41" s="511"/>
      <c r="L41" s="537"/>
    </row>
    <row r="42" spans="1:12" s="4" customFormat="1" ht="29" x14ac:dyDescent="0.35">
      <c r="A42" s="536"/>
      <c r="B42" s="27"/>
      <c r="C42" s="2"/>
      <c r="D42" s="2"/>
      <c r="E42" s="2"/>
      <c r="F42" s="11"/>
      <c r="G42" s="186"/>
      <c r="H42" s="2"/>
      <c r="I42" s="184" t="s">
        <v>290</v>
      </c>
      <c r="J42" s="2"/>
      <c r="K42" s="2"/>
      <c r="L42" s="537"/>
    </row>
    <row r="43" spans="1:12" x14ac:dyDescent="0.35">
      <c r="A43" s="536"/>
      <c r="B43" s="6" t="s">
        <v>313</v>
      </c>
      <c r="C43" s="6"/>
      <c r="D43" s="6"/>
      <c r="E43" s="6"/>
      <c r="F43" s="6"/>
      <c r="G43" s="107"/>
      <c r="H43" s="6"/>
      <c r="I43" s="304"/>
      <c r="J43" s="6"/>
      <c r="K43" s="6"/>
      <c r="L43" s="537"/>
    </row>
    <row r="44" spans="1:12" x14ac:dyDescent="0.35">
      <c r="A44" s="536"/>
      <c r="B44" s="87" t="s">
        <v>222</v>
      </c>
      <c r="C44" s="2"/>
      <c r="D44" s="6"/>
      <c r="E44" s="6"/>
      <c r="F44" s="6"/>
      <c r="G44" s="107"/>
      <c r="H44" s="6"/>
      <c r="I44" s="304"/>
      <c r="J44" s="6"/>
      <c r="K44" s="6"/>
      <c r="L44" s="537"/>
    </row>
    <row r="45" spans="1:12" x14ac:dyDescent="0.35">
      <c r="A45" s="536"/>
      <c r="B45" s="87" t="s">
        <v>222</v>
      </c>
      <c r="C45" s="2"/>
      <c r="D45" s="6"/>
      <c r="E45" s="6"/>
      <c r="F45" s="6"/>
      <c r="G45" s="107"/>
      <c r="H45" s="6"/>
      <c r="I45" s="304"/>
      <c r="J45" s="6"/>
      <c r="K45" s="6"/>
      <c r="L45" s="537"/>
    </row>
    <row r="46" spans="1:12" x14ac:dyDescent="0.35">
      <c r="A46" s="536"/>
      <c r="B46" s="87" t="s">
        <v>222</v>
      </c>
      <c r="C46" s="2"/>
      <c r="D46" s="6"/>
      <c r="E46" s="6"/>
      <c r="F46" s="6"/>
      <c r="G46" s="107"/>
      <c r="H46" s="6"/>
      <c r="I46" s="304"/>
      <c r="J46" s="6"/>
      <c r="K46" s="6"/>
      <c r="L46" s="537"/>
    </row>
    <row r="47" spans="1:12" x14ac:dyDescent="0.35">
      <c r="A47" s="536"/>
      <c r="B47" s="87" t="s">
        <v>222</v>
      </c>
      <c r="C47" s="2"/>
      <c r="D47" s="6"/>
      <c r="E47" s="6"/>
      <c r="F47" s="6"/>
      <c r="G47" s="107"/>
      <c r="H47" s="6"/>
      <c r="I47" s="304"/>
      <c r="J47" s="6"/>
      <c r="K47" s="6"/>
      <c r="L47" s="537"/>
    </row>
    <row r="48" spans="1:12" ht="15" thickBot="1" x14ac:dyDescent="0.4">
      <c r="A48" s="536"/>
      <c r="B48" s="79" t="s">
        <v>314</v>
      </c>
      <c r="C48" s="79"/>
      <c r="D48" s="79"/>
      <c r="E48" s="79"/>
      <c r="F48" s="79"/>
      <c r="G48" s="113">
        <f>SUM(G43:G47)</f>
        <v>0</v>
      </c>
      <c r="H48" s="6"/>
      <c r="I48" s="304"/>
      <c r="J48" s="6"/>
      <c r="K48" s="6"/>
      <c r="L48" s="537"/>
    </row>
    <row r="49" spans="1:12" ht="15.5" thickTop="1" thickBot="1" x14ac:dyDescent="0.4">
      <c r="A49" s="536"/>
      <c r="B49" s="585"/>
      <c r="C49" s="585"/>
      <c r="D49" s="585"/>
      <c r="E49" s="585"/>
      <c r="F49" s="585"/>
      <c r="G49" s="585"/>
      <c r="H49" s="6"/>
      <c r="I49" s="304"/>
      <c r="J49" s="6"/>
      <c r="K49" s="6"/>
      <c r="L49" s="537"/>
    </row>
    <row r="50" spans="1:12" s="7" customFormat="1" ht="16.5" thickTop="1" thickBot="1" x14ac:dyDescent="0.4">
      <c r="A50" s="538"/>
      <c r="B50" s="583" t="s">
        <v>315</v>
      </c>
      <c r="C50" s="583"/>
      <c r="D50" s="583"/>
      <c r="E50" s="583"/>
      <c r="F50" s="583"/>
      <c r="G50" s="584">
        <f>G29+G39+G48</f>
        <v>0</v>
      </c>
      <c r="H50" s="8"/>
      <c r="I50" s="304"/>
      <c r="J50" s="8"/>
      <c r="K50" s="8"/>
      <c r="L50" s="539"/>
    </row>
    <row r="51" spans="1:12" s="7" customFormat="1" ht="18" customHeight="1" thickTop="1" x14ac:dyDescent="0.35">
      <c r="A51" s="538"/>
      <c r="B51" s="8"/>
      <c r="C51" s="8"/>
      <c r="D51" s="8"/>
      <c r="E51" s="8"/>
      <c r="F51" s="8"/>
      <c r="G51" s="8"/>
      <c r="H51" s="8"/>
      <c r="I51" s="8"/>
      <c r="J51" s="8"/>
      <c r="K51" s="8"/>
      <c r="L51" s="539"/>
    </row>
    <row r="52" spans="1:12" ht="21.5" x14ac:dyDescent="0.35">
      <c r="A52" s="536"/>
      <c r="B52" s="510" t="s">
        <v>316</v>
      </c>
      <c r="C52" s="511"/>
      <c r="D52" s="512"/>
      <c r="E52" s="512"/>
      <c r="F52" s="511"/>
      <c r="G52" s="513"/>
      <c r="H52" s="510"/>
      <c r="I52" s="514"/>
      <c r="J52" s="511"/>
      <c r="K52" s="511"/>
      <c r="L52" s="537"/>
    </row>
    <row r="53" spans="1:12" ht="29" x14ac:dyDescent="0.35">
      <c r="A53" s="536"/>
      <c r="B53" s="6"/>
      <c r="C53" s="6"/>
      <c r="D53" s="6"/>
      <c r="E53" s="6"/>
      <c r="F53" s="140" t="s">
        <v>317</v>
      </c>
      <c r="G53" s="141" t="s">
        <v>135</v>
      </c>
      <c r="H53" s="9"/>
      <c r="I53" s="184" t="s">
        <v>290</v>
      </c>
      <c r="J53" s="6"/>
      <c r="K53" s="6"/>
      <c r="L53" s="537"/>
    </row>
    <row r="54" spans="1:12" x14ac:dyDescent="0.35">
      <c r="A54" s="536"/>
      <c r="B54" s="26" t="s">
        <v>318</v>
      </c>
      <c r="C54" s="6"/>
      <c r="D54" s="6"/>
      <c r="E54" s="6"/>
      <c r="F54" s="110">
        <f>IF($C$5=0,0,G54/$C$5)</f>
        <v>0</v>
      </c>
      <c r="G54" s="134"/>
      <c r="H54" s="6"/>
      <c r="I54" s="304"/>
      <c r="J54" s="6"/>
      <c r="K54" s="6"/>
      <c r="L54" s="537"/>
    </row>
    <row r="55" spans="1:12" x14ac:dyDescent="0.35">
      <c r="A55" s="536"/>
      <c r="B55" s="6" t="s">
        <v>319</v>
      </c>
      <c r="C55" s="6"/>
      <c r="D55" s="6"/>
      <c r="E55" s="6"/>
      <c r="F55" s="110">
        <f>IF($C$5=0,0,G55/$C$5)</f>
        <v>0</v>
      </c>
      <c r="G55" s="135"/>
      <c r="H55" s="6"/>
      <c r="I55" s="304"/>
      <c r="J55" s="6"/>
      <c r="K55" s="6"/>
      <c r="L55" s="537"/>
    </row>
    <row r="56" spans="1:12" x14ac:dyDescent="0.35">
      <c r="A56" s="536"/>
      <c r="B56" s="6" t="s">
        <v>320</v>
      </c>
      <c r="C56" s="6"/>
      <c r="D56" s="6"/>
      <c r="E56" s="6"/>
      <c r="F56" s="107"/>
      <c r="G56" s="117">
        <f>F56*$C$5</f>
        <v>0</v>
      </c>
      <c r="H56" s="6"/>
      <c r="I56" s="304"/>
      <c r="J56" s="6"/>
      <c r="K56" s="6"/>
      <c r="L56" s="537"/>
    </row>
    <row r="57" spans="1:12" x14ac:dyDescent="0.35">
      <c r="A57" s="536"/>
      <c r="B57" s="6" t="s">
        <v>321</v>
      </c>
      <c r="C57" s="6"/>
      <c r="D57" s="6"/>
      <c r="E57" s="6"/>
      <c r="F57" s="107"/>
      <c r="G57" s="117">
        <f>F57*$C$5</f>
        <v>0</v>
      </c>
      <c r="H57" s="6"/>
      <c r="I57" s="304"/>
      <c r="J57" s="6"/>
      <c r="K57" s="6"/>
      <c r="L57" s="537"/>
    </row>
    <row r="58" spans="1:12" ht="16" x14ac:dyDescent="0.5">
      <c r="A58" s="536"/>
      <c r="B58" s="6" t="s">
        <v>322</v>
      </c>
      <c r="C58" s="6"/>
      <c r="D58" s="6"/>
      <c r="E58" s="6"/>
      <c r="F58" s="107"/>
      <c r="G58" s="119">
        <f>F58*$C$5</f>
        <v>0</v>
      </c>
      <c r="H58" s="12"/>
      <c r="I58" s="304"/>
      <c r="J58" s="6"/>
      <c r="K58" s="6"/>
      <c r="L58" s="537"/>
    </row>
    <row r="59" spans="1:12" ht="16" x14ac:dyDescent="0.5">
      <c r="A59" s="536"/>
      <c r="B59" s="6" t="s">
        <v>323</v>
      </c>
      <c r="C59" s="6"/>
      <c r="D59" s="6"/>
      <c r="E59" s="6"/>
      <c r="F59" s="110">
        <f>IF($C$5=0,0,G59/$C$5)</f>
        <v>0</v>
      </c>
      <c r="G59" s="119">
        <f>SUM(G56:G58)</f>
        <v>0</v>
      </c>
      <c r="H59" s="6"/>
      <c r="I59" s="304"/>
      <c r="J59" s="6"/>
      <c r="K59" s="6"/>
      <c r="L59" s="537"/>
    </row>
    <row r="60" spans="1:12" x14ac:dyDescent="0.35">
      <c r="A60" s="536"/>
      <c r="B60" s="6" t="s">
        <v>324</v>
      </c>
      <c r="C60" s="6"/>
      <c r="D60" s="6"/>
      <c r="E60" s="6"/>
      <c r="F60" s="107"/>
      <c r="G60" s="117">
        <f t="shared" ref="G60:G65" si="2">F60*$C$5</f>
        <v>0</v>
      </c>
      <c r="H60" s="6"/>
      <c r="I60" s="304"/>
      <c r="J60" s="6"/>
      <c r="K60" s="6"/>
      <c r="L60" s="537"/>
    </row>
    <row r="61" spans="1:12" x14ac:dyDescent="0.35">
      <c r="A61" s="536"/>
      <c r="B61" s="6" t="s">
        <v>325</v>
      </c>
      <c r="C61" s="6"/>
      <c r="D61" s="6"/>
      <c r="E61" s="6"/>
      <c r="F61" s="107"/>
      <c r="G61" s="117">
        <f t="shared" si="2"/>
        <v>0</v>
      </c>
      <c r="H61" s="6"/>
      <c r="I61" s="304"/>
      <c r="J61" s="6"/>
      <c r="K61" s="6"/>
      <c r="L61" s="537"/>
    </row>
    <row r="62" spans="1:12" x14ac:dyDescent="0.35">
      <c r="A62" s="536"/>
      <c r="B62" s="87" t="s">
        <v>222</v>
      </c>
      <c r="C62" s="2"/>
      <c r="D62" s="2"/>
      <c r="E62" s="6"/>
      <c r="F62" s="107"/>
      <c r="G62" s="117">
        <f t="shared" si="2"/>
        <v>0</v>
      </c>
      <c r="H62" s="6"/>
      <c r="I62" s="304"/>
      <c r="J62" s="6"/>
      <c r="K62" s="6"/>
      <c r="L62" s="537"/>
    </row>
    <row r="63" spans="1:12" x14ac:dyDescent="0.35">
      <c r="A63" s="536"/>
      <c r="B63" s="87" t="s">
        <v>222</v>
      </c>
      <c r="C63" s="2"/>
      <c r="D63" s="2"/>
      <c r="E63" s="6"/>
      <c r="F63" s="107"/>
      <c r="G63" s="117">
        <f t="shared" si="2"/>
        <v>0</v>
      </c>
      <c r="H63" s="6"/>
      <c r="I63" s="304"/>
      <c r="J63" s="6"/>
      <c r="K63" s="6"/>
      <c r="L63" s="537"/>
    </row>
    <row r="64" spans="1:12" x14ac:dyDescent="0.35">
      <c r="A64" s="536"/>
      <c r="B64" s="87" t="s">
        <v>222</v>
      </c>
      <c r="C64" s="2"/>
      <c r="D64" s="2"/>
      <c r="E64" s="6"/>
      <c r="F64" s="107"/>
      <c r="G64" s="117">
        <f t="shared" si="2"/>
        <v>0</v>
      </c>
      <c r="H64" s="6"/>
      <c r="I64" s="304"/>
      <c r="J64" s="6"/>
      <c r="K64" s="6"/>
      <c r="L64" s="537"/>
    </row>
    <row r="65" spans="1:12" x14ac:dyDescent="0.35">
      <c r="A65" s="536"/>
      <c r="B65" s="87" t="s">
        <v>222</v>
      </c>
      <c r="C65" s="2"/>
      <c r="D65" s="2"/>
      <c r="E65" s="6"/>
      <c r="F65" s="107"/>
      <c r="G65" s="117">
        <f t="shared" si="2"/>
        <v>0</v>
      </c>
      <c r="H65" s="6"/>
      <c r="I65" s="304"/>
      <c r="J65" s="6"/>
      <c r="K65" s="6"/>
      <c r="L65" s="537"/>
    </row>
    <row r="66" spans="1:12" x14ac:dyDescent="0.35">
      <c r="A66" s="536"/>
      <c r="B66" s="27" t="s">
        <v>326</v>
      </c>
      <c r="C66" s="6"/>
      <c r="D66" s="6"/>
      <c r="E66" s="6"/>
      <c r="F66" s="136">
        <v>0.04</v>
      </c>
      <c r="G66" s="117">
        <f>IF(G26&lt;&gt;0,IF( OR('Rents &amp; Affordability'!F25&lt;&gt;0,'Rents &amp; Affordability'!F23&lt;&gt;0),(('Proforma - Residential'!G50-(('Rents &amp; Affordability'!J23+'Rents &amp; Affordability'!J25)*(1-'Proforma - Residential'!G27)))*'Proforma - Residential'!F66),'Proforma - Residential'!G50*'Proforma - Residential'!F66),0)</f>
        <v>0</v>
      </c>
      <c r="H66" s="6"/>
      <c r="I66" s="304"/>
      <c r="J66" s="6"/>
      <c r="K66" s="6"/>
      <c r="L66" s="537"/>
    </row>
    <row r="67" spans="1:12" x14ac:dyDescent="0.35">
      <c r="A67" s="536"/>
      <c r="B67" s="6" t="s">
        <v>327</v>
      </c>
      <c r="C67" s="6"/>
      <c r="D67" s="6"/>
      <c r="E67" s="6"/>
      <c r="F67" s="93"/>
      <c r="G67" s="117">
        <f>F67*G50</f>
        <v>0</v>
      </c>
      <c r="H67" s="6"/>
      <c r="I67" s="304"/>
      <c r="J67" s="6"/>
      <c r="K67" s="6"/>
      <c r="L67" s="537"/>
    </row>
    <row r="68" spans="1:12" ht="16" x14ac:dyDescent="0.5">
      <c r="A68" s="536"/>
      <c r="B68" s="6" t="s">
        <v>328</v>
      </c>
      <c r="C68" s="6"/>
      <c r="D68" s="6"/>
      <c r="E68" s="6"/>
      <c r="F68" s="93"/>
      <c r="G68" s="118">
        <f>F68*G50</f>
        <v>0</v>
      </c>
      <c r="H68" s="12"/>
      <c r="I68" s="304"/>
      <c r="J68" s="6"/>
      <c r="K68" s="104"/>
      <c r="L68" s="537"/>
    </row>
    <row r="69" spans="1:12" ht="16" thickBot="1" x14ac:dyDescent="0.4">
      <c r="A69" s="536"/>
      <c r="B69" s="79" t="s">
        <v>329</v>
      </c>
      <c r="C69" s="137"/>
      <c r="D69" s="137"/>
      <c r="E69" s="137"/>
      <c r="F69" s="138">
        <f>IF($C$5=0,0,G69/$C$5)</f>
        <v>0</v>
      </c>
      <c r="G69" s="139">
        <f>SUM(G54:G58,G60:G68)</f>
        <v>0</v>
      </c>
      <c r="H69" s="6"/>
      <c r="I69" s="105" t="s">
        <v>330</v>
      </c>
      <c r="J69" s="106">
        <f>IF(G50=0,0,G69/G50)</f>
        <v>0</v>
      </c>
      <c r="K69" s="6"/>
      <c r="L69" s="537"/>
    </row>
    <row r="70" spans="1:12" s="31" customFormat="1" ht="16.5" customHeight="1" thickTop="1" thickBot="1" x14ac:dyDescent="0.4">
      <c r="A70" s="542"/>
      <c r="B70" s="40"/>
      <c r="C70" s="60"/>
      <c r="D70" s="40"/>
      <c r="E70" s="40"/>
      <c r="F70" s="40"/>
      <c r="G70" s="40"/>
      <c r="H70" s="26"/>
      <c r="I70" s="32"/>
      <c r="J70" s="26"/>
      <c r="K70" s="26"/>
      <c r="L70" s="543"/>
    </row>
    <row r="71" spans="1:12" ht="16" thickBot="1" x14ac:dyDescent="0.4">
      <c r="A71" s="536"/>
      <c r="B71" s="142" t="s">
        <v>331</v>
      </c>
      <c r="C71" s="143"/>
      <c r="D71" s="143"/>
      <c r="E71" s="143"/>
      <c r="F71" s="144"/>
      <c r="G71" s="145">
        <f>G50-G69</f>
        <v>0</v>
      </c>
      <c r="H71" s="8"/>
      <c r="I71" s="544"/>
      <c r="J71" s="6"/>
      <c r="K71"/>
      <c r="L71" s="537"/>
    </row>
    <row r="72" spans="1:12" ht="15.5" x14ac:dyDescent="0.35">
      <c r="A72" s="536"/>
      <c r="B72" s="39"/>
      <c r="C72" s="39"/>
      <c r="D72" s="39"/>
      <c r="E72" s="39"/>
      <c r="F72" s="238"/>
      <c r="G72" s="575"/>
      <c r="H72" s="8"/>
      <c r="I72" s="544"/>
      <c r="J72" s="6"/>
      <c r="K72"/>
      <c r="L72" s="537"/>
    </row>
    <row r="73" spans="1:12" ht="15.5" x14ac:dyDescent="0.35">
      <c r="A73" s="536"/>
      <c r="B73" s="39"/>
      <c r="C73" s="39"/>
      <c r="D73" s="39"/>
      <c r="E73" s="39"/>
      <c r="F73" s="238"/>
      <c r="G73" s="267"/>
      <c r="H73" s="8"/>
      <c r="I73" s="544"/>
      <c r="J73" s="6"/>
      <c r="K73"/>
      <c r="L73" s="537"/>
    </row>
    <row r="74" spans="1:12" ht="21.5" x14ac:dyDescent="0.35">
      <c r="A74" s="536"/>
      <c r="B74" s="510" t="s">
        <v>332</v>
      </c>
      <c r="C74" s="511"/>
      <c r="D74" s="512"/>
      <c r="E74" s="512"/>
      <c r="F74" s="511"/>
      <c r="G74" s="513"/>
      <c r="H74" s="510"/>
      <c r="I74" s="514"/>
      <c r="J74" s="511"/>
      <c r="K74" s="511"/>
      <c r="L74" s="537"/>
    </row>
    <row r="75" spans="1:12" ht="15.5" x14ac:dyDescent="0.35">
      <c r="A75" s="536"/>
      <c r="B75" s="39"/>
      <c r="C75" s="39"/>
      <c r="D75" s="39"/>
      <c r="E75" s="39"/>
      <c r="F75" s="238"/>
      <c r="G75" s="267"/>
      <c r="H75" s="8"/>
      <c r="I75" s="544"/>
      <c r="J75" s="6"/>
      <c r="K75"/>
      <c r="L75" s="537"/>
    </row>
    <row r="76" spans="1:12" ht="19" thickBot="1" x14ac:dyDescent="0.4">
      <c r="A76" s="536"/>
      <c r="B76" s="758" t="s">
        <v>422</v>
      </c>
      <c r="C76" s="758"/>
      <c r="D76" s="758"/>
      <c r="E76" s="758"/>
      <c r="F76" s="758"/>
      <c r="G76" s="758"/>
      <c r="H76" s="8"/>
      <c r="I76" s="544"/>
      <c r="J76" s="6"/>
      <c r="K76"/>
      <c r="L76" s="537"/>
    </row>
    <row r="77" spans="1:12" ht="15" thickBot="1" x14ac:dyDescent="0.4">
      <c r="A77" s="536"/>
      <c r="B77" s="755" t="s">
        <v>423</v>
      </c>
      <c r="C77" s="756"/>
      <c r="D77" s="756"/>
      <c r="E77" s="756"/>
      <c r="F77" s="756"/>
      <c r="G77" s="757"/>
      <c r="H77" s="8"/>
      <c r="I77" s="544"/>
      <c r="J77" s="6"/>
      <c r="K77"/>
      <c r="L77" s="537"/>
    </row>
    <row r="78" spans="1:12" x14ac:dyDescent="0.35">
      <c r="A78" s="536"/>
      <c r="B78" s="515" t="s">
        <v>424</v>
      </c>
      <c r="C78" s="239"/>
      <c r="D78" s="239"/>
      <c r="E78" s="239"/>
      <c r="F78" s="239"/>
      <c r="G78" s="516">
        <f>MIN(C21,C22,G85)</f>
        <v>0</v>
      </c>
      <c r="H78" s="8"/>
      <c r="I78" s="544"/>
      <c r="J78" s="6"/>
      <c r="K78"/>
      <c r="L78" s="537"/>
    </row>
    <row r="79" spans="1:12" x14ac:dyDescent="0.35">
      <c r="A79" s="536"/>
      <c r="B79" s="515" t="s">
        <v>333</v>
      </c>
      <c r="C79" s="239"/>
      <c r="D79" s="239"/>
      <c r="E79" s="239"/>
      <c r="F79" s="239"/>
      <c r="G79" s="577"/>
      <c r="H79" s="8"/>
      <c r="I79" s="544"/>
      <c r="J79" s="6"/>
      <c r="K79"/>
      <c r="L79" s="537"/>
    </row>
    <row r="80" spans="1:12" x14ac:dyDescent="0.35">
      <c r="A80" s="536"/>
      <c r="B80" s="515" t="s">
        <v>334</v>
      </c>
      <c r="C80" s="239"/>
      <c r="D80" s="239"/>
      <c r="E80" s="239"/>
      <c r="F80" s="239"/>
      <c r="G80" s="517"/>
      <c r="H80" s="6"/>
      <c r="I80" s="276" t="str">
        <f>IF(G80&gt;40," Loan Amortization can not exceed 40 years","")</f>
        <v/>
      </c>
      <c r="J80" s="6"/>
      <c r="K80"/>
      <c r="L80" s="537"/>
    </row>
    <row r="81" spans="1:12" x14ac:dyDescent="0.35">
      <c r="A81" s="536"/>
      <c r="B81" s="515" t="s">
        <v>425</v>
      </c>
      <c r="C81" s="239"/>
      <c r="D81" s="239"/>
      <c r="E81" s="239"/>
      <c r="F81" s="239"/>
      <c r="G81" s="516">
        <f>IF(G78=0, 0, IF(G80=0,0, -PMT((((G79/2)+1)^(1/6))-1, G80*12, G78, 0, 0)))</f>
        <v>0</v>
      </c>
      <c r="H81" s="8"/>
      <c r="I81" s="544"/>
      <c r="J81" s="6"/>
      <c r="K81"/>
      <c r="L81" s="537"/>
    </row>
    <row r="82" spans="1:12" ht="15" thickBot="1" x14ac:dyDescent="0.4">
      <c r="A82" s="536"/>
      <c r="B82" s="518" t="s">
        <v>426</v>
      </c>
      <c r="C82" s="519"/>
      <c r="D82" s="519"/>
      <c r="E82" s="519"/>
      <c r="F82" s="519"/>
      <c r="G82" s="520">
        <f>G81*12</f>
        <v>0</v>
      </c>
      <c r="H82" s="8"/>
      <c r="I82" s="544"/>
      <c r="J82" s="6"/>
      <c r="K82"/>
      <c r="L82" s="537"/>
    </row>
    <row r="83" spans="1:12" ht="15.5" x14ac:dyDescent="0.35">
      <c r="A83" s="536"/>
      <c r="B83" s="598" t="s">
        <v>335</v>
      </c>
      <c r="C83" s="270"/>
      <c r="D83" s="270"/>
      <c r="F83" s="277"/>
      <c r="G83" s="285">
        <f>IF(F83=0,0,ROUND(F83,-3))</f>
        <v>0</v>
      </c>
      <c r="H83" s="8"/>
      <c r="I83" s="544"/>
      <c r="J83" s="6"/>
      <c r="K83"/>
      <c r="L83" s="537"/>
    </row>
    <row r="84" spans="1:12" ht="15.5" x14ac:dyDescent="0.35">
      <c r="A84" s="536"/>
      <c r="B84" s="599" t="s">
        <v>427</v>
      </c>
      <c r="C84" s="268"/>
      <c r="D84" s="268"/>
      <c r="E84" s="269"/>
      <c r="F84" s="6"/>
      <c r="G84" s="278"/>
      <c r="H84" s="8"/>
      <c r="I84" s="544"/>
      <c r="J84" s="6"/>
      <c r="K84"/>
      <c r="L84" s="537"/>
    </row>
    <row r="85" spans="1:12" ht="15" thickBot="1" x14ac:dyDescent="0.4">
      <c r="A85" s="536"/>
      <c r="B85" s="521" t="s">
        <v>428</v>
      </c>
      <c r="C85" s="273"/>
      <c r="D85" s="273"/>
      <c r="E85" s="274"/>
      <c r="F85" s="275"/>
      <c r="G85" s="281">
        <f>((0.85*G83*'Project Budget '!H6)-(G84*'Project Budget '!H6)-('Project Budget '!E35*'Project Budget '!H6))</f>
        <v>0</v>
      </c>
      <c r="H85" s="8"/>
      <c r="I85" s="544"/>
      <c r="J85" s="6"/>
      <c r="K85"/>
      <c r="L85" s="537"/>
    </row>
    <row r="86" spans="1:12" ht="15.5" x14ac:dyDescent="0.35">
      <c r="A86" s="536"/>
      <c r="B86" s="6"/>
      <c r="C86" s="39"/>
      <c r="D86" s="39"/>
      <c r="E86" s="39"/>
      <c r="F86" s="238"/>
      <c r="G86" s="267"/>
      <c r="H86" s="8"/>
      <c r="I86" s="544"/>
      <c r="J86" s="6"/>
      <c r="K86"/>
      <c r="L86" s="537"/>
    </row>
    <row r="87" spans="1:12" ht="19" thickBot="1" x14ac:dyDescent="0.4">
      <c r="A87" s="536"/>
      <c r="B87" s="758" t="s">
        <v>429</v>
      </c>
      <c r="C87" s="758"/>
      <c r="D87" s="758"/>
      <c r="E87" s="758"/>
      <c r="F87" s="758"/>
      <c r="G87" s="758"/>
      <c r="H87" s="8"/>
      <c r="I87" s="544"/>
      <c r="J87" s="6"/>
      <c r="K87"/>
      <c r="L87" s="537"/>
    </row>
    <row r="88" spans="1:12" ht="15" thickBot="1" x14ac:dyDescent="0.4">
      <c r="A88" s="536"/>
      <c r="B88" s="755" t="s">
        <v>430</v>
      </c>
      <c r="C88" s="756"/>
      <c r="D88" s="756"/>
      <c r="E88" s="756"/>
      <c r="F88" s="756"/>
      <c r="G88" s="757"/>
      <c r="H88" s="8"/>
      <c r="I88" s="544"/>
      <c r="J88" s="6"/>
      <c r="K88"/>
      <c r="L88" s="537"/>
    </row>
    <row r="89" spans="1:12" x14ac:dyDescent="0.35">
      <c r="A89" s="536"/>
      <c r="B89" s="600" t="s">
        <v>336</v>
      </c>
      <c r="C89" s="239"/>
      <c r="D89" s="239"/>
      <c r="E89" s="239"/>
      <c r="F89"/>
      <c r="G89" s="602"/>
      <c r="H89" s="8"/>
      <c r="I89" s="544"/>
      <c r="J89" s="6"/>
      <c r="K89"/>
      <c r="L89" s="537"/>
    </row>
    <row r="90" spans="1:12" x14ac:dyDescent="0.35">
      <c r="A90" s="536"/>
      <c r="B90" s="600" t="s">
        <v>337</v>
      </c>
      <c r="C90" s="239"/>
      <c r="D90" s="239"/>
      <c r="E90" s="239"/>
      <c r="F90"/>
      <c r="G90" s="603"/>
      <c r="H90" s="8"/>
      <c r="I90" s="544"/>
      <c r="J90" s="6"/>
      <c r="K90"/>
      <c r="L90" s="537"/>
    </row>
    <row r="91" spans="1:12" x14ac:dyDescent="0.35">
      <c r="A91" s="536"/>
      <c r="B91" s="600" t="s">
        <v>338</v>
      </c>
      <c r="C91" s="239"/>
      <c r="D91" s="239"/>
      <c r="E91" s="239"/>
      <c r="F91"/>
      <c r="G91" s="604"/>
      <c r="H91" s="8"/>
      <c r="I91" s="544"/>
      <c r="J91" s="6"/>
      <c r="K91"/>
      <c r="L91" s="537"/>
    </row>
    <row r="92" spans="1:12" ht="15" thickBot="1" x14ac:dyDescent="0.4">
      <c r="A92" s="536"/>
      <c r="B92" s="601" t="s">
        <v>339</v>
      </c>
      <c r="C92" s="519"/>
      <c r="D92" s="519"/>
      <c r="E92" s="519"/>
      <c r="F92" s="522"/>
      <c r="G92" s="605"/>
      <c r="H92" s="8"/>
      <c r="I92" s="544"/>
      <c r="J92" s="6"/>
      <c r="K92"/>
      <c r="L92" s="537"/>
    </row>
    <row r="93" spans="1:12" ht="15.5" x14ac:dyDescent="0.35">
      <c r="A93" s="536"/>
      <c r="B93" s="39"/>
      <c r="C93" s="39"/>
      <c r="D93" s="39"/>
      <c r="E93" s="39"/>
      <c r="F93" s="238"/>
      <c r="G93" s="267"/>
      <c r="H93" s="8"/>
      <c r="I93" s="544"/>
      <c r="J93" s="6"/>
      <c r="K93"/>
      <c r="L93" s="537"/>
    </row>
    <row r="94" spans="1:12" ht="16" thickBot="1" x14ac:dyDescent="0.4">
      <c r="A94" s="536"/>
      <c r="B94" s="39"/>
      <c r="C94" s="39"/>
      <c r="D94" s="39"/>
      <c r="E94" s="39"/>
      <c r="F94" s="238"/>
      <c r="G94" s="267"/>
      <c r="H94" s="8"/>
      <c r="I94" s="544"/>
      <c r="J94" s="6"/>
      <c r="K94"/>
      <c r="L94" s="537"/>
    </row>
    <row r="95" spans="1:12" ht="15" thickBot="1" x14ac:dyDescent="0.4">
      <c r="A95" s="536"/>
      <c r="B95" s="755" t="s">
        <v>431</v>
      </c>
      <c r="C95" s="756"/>
      <c r="D95" s="756"/>
      <c r="E95" s="756"/>
      <c r="F95" s="756"/>
      <c r="G95" s="757"/>
      <c r="H95" s="8"/>
      <c r="I95" s="544"/>
      <c r="J95" s="6"/>
      <c r="K95"/>
      <c r="L95" s="537"/>
    </row>
    <row r="96" spans="1:12" x14ac:dyDescent="0.35">
      <c r="A96" s="536"/>
      <c r="B96" s="523" t="s">
        <v>432</v>
      </c>
      <c r="C96" s="524"/>
      <c r="D96" s="524"/>
      <c r="E96" s="524"/>
      <c r="F96" s="524"/>
      <c r="G96" s="525">
        <f>G82+G89</f>
        <v>0</v>
      </c>
      <c r="H96" s="8"/>
      <c r="I96" s="544"/>
      <c r="J96" s="6"/>
      <c r="K96"/>
      <c r="L96" s="537"/>
    </row>
    <row r="97" spans="1:12" x14ac:dyDescent="0.35">
      <c r="A97" s="536"/>
      <c r="B97" s="526" t="s">
        <v>433</v>
      </c>
      <c r="C97" s="239"/>
      <c r="D97" s="239"/>
      <c r="E97" s="239"/>
      <c r="F97" s="239"/>
      <c r="G97" s="527">
        <f>IF(G82=0, 0, ROUND(G71/(G82+G89),2))</f>
        <v>0</v>
      </c>
      <c r="H97" s="8"/>
      <c r="I97" s="544"/>
      <c r="J97" s="6"/>
      <c r="K97"/>
      <c r="L97" s="537"/>
    </row>
    <row r="98" spans="1:12" x14ac:dyDescent="0.35">
      <c r="A98" s="536"/>
      <c r="B98" s="606" t="s">
        <v>434</v>
      </c>
      <c r="C98" s="535"/>
      <c r="D98" s="535"/>
      <c r="E98" s="239"/>
      <c r="F98" s="239"/>
      <c r="G98" s="607" t="str">
        <f>IF('Scoring Grid'!E112="Forgivable Loan","N/A for Selected Funding Type",IF(G102=C22,"Yes",IF(G102&lt;C22,"No","Yes")))</f>
        <v>Yes</v>
      </c>
      <c r="H98" s="8"/>
      <c r="I98" s="544"/>
      <c r="J98" s="6"/>
      <c r="K98"/>
      <c r="L98" s="537"/>
    </row>
    <row r="99" spans="1:12" x14ac:dyDescent="0.35">
      <c r="A99" s="536"/>
      <c r="B99" s="515" t="s">
        <v>340</v>
      </c>
      <c r="C99" s="239"/>
      <c r="D99" s="239"/>
      <c r="E99" s="528" t="s">
        <v>341</v>
      </c>
      <c r="F99" s="241">
        <v>1</v>
      </c>
      <c r="G99" s="529">
        <f>IF(OR(G$78=0,G71&lt;=0),0,IF(G80=0,0,(((G71-G89)/F$99/12)/(((1+((G79*100)/200))^(1/6)-1)/(1-((1+(G79*100)/200)^(1/6))^(-12*G80))))))</f>
        <v>0</v>
      </c>
      <c r="H99" s="8"/>
      <c r="I99" s="544"/>
      <c r="J99" s="6"/>
      <c r="K99"/>
      <c r="L99" s="537"/>
    </row>
    <row r="100" spans="1:12" ht="15" thickBot="1" x14ac:dyDescent="0.4">
      <c r="A100" s="536"/>
      <c r="B100" s="588"/>
      <c r="C100" s="589"/>
      <c r="D100" s="589"/>
      <c r="E100" s="589"/>
      <c r="F100" s="590"/>
      <c r="G100" s="591"/>
      <c r="H100" s="8"/>
      <c r="I100" s="544"/>
      <c r="J100" s="6"/>
      <c r="K100"/>
      <c r="L100" s="537"/>
    </row>
    <row r="101" spans="1:12" x14ac:dyDescent="0.35">
      <c r="A101" s="536"/>
      <c r="B101" s="594"/>
      <c r="C101" s="595"/>
      <c r="D101" s="595"/>
      <c r="E101" s="595"/>
      <c r="F101" s="596"/>
      <c r="G101" s="597"/>
      <c r="H101" s="8"/>
      <c r="I101" s="544"/>
      <c r="J101" s="6"/>
      <c r="K101"/>
      <c r="L101" s="537"/>
    </row>
    <row r="102" spans="1:12" x14ac:dyDescent="0.35">
      <c r="A102" s="536"/>
      <c r="B102" s="526" t="s">
        <v>435</v>
      </c>
      <c r="C102" s="239"/>
      <c r="D102" s="239"/>
      <c r="E102" s="239"/>
      <c r="F102" s="239"/>
      <c r="G102" s="530">
        <f>MIN(G78,G99)</f>
        <v>0</v>
      </c>
      <c r="H102" s="8"/>
      <c r="I102" s="544"/>
      <c r="J102" s="6"/>
      <c r="K102"/>
      <c r="L102" s="537"/>
    </row>
    <row r="103" spans="1:12" x14ac:dyDescent="0.35">
      <c r="A103" s="536"/>
      <c r="B103" s="515" t="s">
        <v>342</v>
      </c>
      <c r="C103" s="239"/>
      <c r="D103" s="239"/>
      <c r="E103" s="239"/>
      <c r="F103" s="239"/>
      <c r="G103" s="516">
        <f>IF(G102=0, 0, -PMT((((G79/2)+1)^(1/6))-1, G80*12, G102, 0, 0))</f>
        <v>0</v>
      </c>
      <c r="H103" s="8"/>
      <c r="I103" s="544"/>
      <c r="J103" s="6"/>
      <c r="K103"/>
      <c r="L103" s="537"/>
    </row>
    <row r="104" spans="1:12" x14ac:dyDescent="0.35">
      <c r="A104" s="536"/>
      <c r="B104" s="515" t="s">
        <v>343</v>
      </c>
      <c r="C104" s="239"/>
      <c r="D104" s="239"/>
      <c r="E104" s="239"/>
      <c r="F104" s="239"/>
      <c r="G104" s="516">
        <f>G103*12</f>
        <v>0</v>
      </c>
      <c r="H104" s="8"/>
      <c r="I104" s="544"/>
      <c r="J104" s="6"/>
      <c r="K104"/>
      <c r="L104" s="537"/>
    </row>
    <row r="105" spans="1:12" x14ac:dyDescent="0.35">
      <c r="A105" s="536"/>
      <c r="B105" s="526" t="s">
        <v>436</v>
      </c>
      <c r="C105" s="239"/>
      <c r="D105" s="239"/>
      <c r="E105" s="239"/>
      <c r="F105" s="239"/>
      <c r="G105" s="531">
        <f>IF(G104=0, 0, ROUND(G71/G104,2))</f>
        <v>0</v>
      </c>
      <c r="H105" s="8"/>
      <c r="I105" s="544"/>
      <c r="J105" s="6"/>
      <c r="K105"/>
      <c r="L105" s="537"/>
    </row>
    <row r="106" spans="1:12" ht="15" thickBot="1" x14ac:dyDescent="0.4">
      <c r="A106" s="536"/>
      <c r="B106" s="586"/>
      <c r="C106" s="519"/>
      <c r="D106" s="519"/>
      <c r="E106" s="519"/>
      <c r="F106" s="519"/>
      <c r="G106" s="587"/>
      <c r="H106" s="8"/>
      <c r="I106" s="544"/>
      <c r="J106" s="6"/>
      <c r="K106"/>
      <c r="L106" s="537"/>
    </row>
    <row r="107" spans="1:12" x14ac:dyDescent="0.35">
      <c r="A107" s="536"/>
      <c r="B107" s="592"/>
      <c r="C107" s="170"/>
      <c r="D107" s="170"/>
      <c r="E107" s="170"/>
      <c r="F107" s="170"/>
      <c r="G107" s="593"/>
      <c r="H107" s="8"/>
      <c r="I107" s="544"/>
      <c r="J107" s="6"/>
      <c r="K107"/>
      <c r="L107" s="537"/>
    </row>
    <row r="108" spans="1:12" x14ac:dyDescent="0.35">
      <c r="A108" s="536"/>
      <c r="B108" s="515" t="s">
        <v>437</v>
      </c>
      <c r="C108" s="239"/>
      <c r="D108" s="239"/>
      <c r="E108" s="239"/>
      <c r="F108" s="170"/>
      <c r="G108" s="516">
        <f>G102</f>
        <v>0</v>
      </c>
      <c r="H108" s="8"/>
      <c r="I108" s="544"/>
      <c r="J108" s="6"/>
      <c r="K108"/>
      <c r="L108" s="537"/>
    </row>
    <row r="109" spans="1:12" x14ac:dyDescent="0.35">
      <c r="A109" s="536"/>
      <c r="B109" s="515" t="s">
        <v>344</v>
      </c>
      <c r="C109" s="239"/>
      <c r="D109" s="239"/>
      <c r="E109" s="239"/>
      <c r="F109" s="240"/>
      <c r="G109" s="532">
        <f>C22-G102</f>
        <v>0</v>
      </c>
      <c r="H109" s="8"/>
      <c r="I109" s="634" t="str">
        <f>IF(G109&gt;0,"Go to Non-Residential tab","")</f>
        <v/>
      </c>
      <c r="J109" s="6"/>
      <c r="K109"/>
      <c r="L109" s="537"/>
    </row>
    <row r="110" spans="1:12" x14ac:dyDescent="0.35">
      <c r="A110" s="536"/>
      <c r="B110" s="515" t="s">
        <v>345</v>
      </c>
      <c r="C110" s="239"/>
      <c r="D110" s="239"/>
      <c r="E110" s="239"/>
      <c r="F110" s="239"/>
      <c r="G110" s="516">
        <f>E19</f>
        <v>0</v>
      </c>
      <c r="H110" s="8"/>
      <c r="I110" s="544"/>
      <c r="J110" s="6"/>
      <c r="K110"/>
      <c r="L110" s="537"/>
    </row>
    <row r="111" spans="1:12" ht="15" thickBot="1" x14ac:dyDescent="0.4">
      <c r="A111" s="536"/>
      <c r="B111" s="518" t="s">
        <v>438</v>
      </c>
      <c r="C111" s="519"/>
      <c r="D111" s="519"/>
      <c r="E111" s="533"/>
      <c r="F111" s="533"/>
      <c r="G111" s="534">
        <f>IF(G108=0,0,G102/G110)</f>
        <v>0</v>
      </c>
      <c r="H111" s="8"/>
      <c r="I111" s="544"/>
      <c r="J111" s="6"/>
      <c r="K111"/>
      <c r="L111" s="537"/>
    </row>
    <row r="112" spans="1:12" x14ac:dyDescent="0.35">
      <c r="A112" s="536"/>
      <c r="B112" s="239"/>
      <c r="C112" s="239"/>
      <c r="D112" s="239"/>
      <c r="E112" s="242"/>
      <c r="F112" s="242"/>
      <c r="G112" s="546"/>
      <c r="H112" s="8"/>
      <c r="I112" s="544"/>
      <c r="J112" s="6"/>
      <c r="K112"/>
      <c r="L112" s="537"/>
    </row>
    <row r="113" spans="1:12" s="4" customFormat="1" ht="16.5" customHeight="1" x14ac:dyDescent="0.35">
      <c r="A113" s="536"/>
      <c r="B113" s="5"/>
      <c r="C113" s="5"/>
      <c r="D113" s="5"/>
      <c r="E113" s="5"/>
      <c r="F113" s="5"/>
      <c r="G113" s="5"/>
      <c r="H113" s="5"/>
      <c r="I113" s="5"/>
      <c r="J113" s="5"/>
      <c r="K113" s="5"/>
      <c r="L113" s="537"/>
    </row>
    <row r="114" spans="1:12" customFormat="1" x14ac:dyDescent="0.35">
      <c r="A114" s="495"/>
      <c r="B114" s="192" t="s">
        <v>252</v>
      </c>
      <c r="C114" s="5"/>
      <c r="D114" s="5"/>
      <c r="E114" s="5"/>
      <c r="F114" s="5"/>
      <c r="G114" s="5"/>
      <c r="H114" s="5"/>
      <c r="I114" s="5"/>
      <c r="J114" s="5"/>
      <c r="K114" s="5"/>
      <c r="L114" s="498"/>
    </row>
    <row r="115" spans="1:12" customFormat="1" x14ac:dyDescent="0.35">
      <c r="A115" s="495"/>
      <c r="B115" s="730"/>
      <c r="C115" s="731"/>
      <c r="D115" s="731"/>
      <c r="E115" s="731"/>
      <c r="F115" s="731"/>
      <c r="G115" s="731"/>
      <c r="H115" s="731"/>
      <c r="I115" s="731"/>
      <c r="J115" s="731"/>
      <c r="K115" s="732"/>
      <c r="L115" s="498"/>
    </row>
    <row r="116" spans="1:12" customFormat="1" x14ac:dyDescent="0.35">
      <c r="A116" s="495"/>
      <c r="B116" s="733"/>
      <c r="C116" s="734"/>
      <c r="D116" s="734"/>
      <c r="E116" s="734"/>
      <c r="F116" s="734"/>
      <c r="G116" s="734"/>
      <c r="H116" s="734"/>
      <c r="I116" s="734"/>
      <c r="J116" s="734"/>
      <c r="K116" s="735"/>
      <c r="L116" s="498"/>
    </row>
    <row r="117" spans="1:12" customFormat="1" x14ac:dyDescent="0.35">
      <c r="A117" s="495"/>
      <c r="B117" s="733"/>
      <c r="C117" s="734"/>
      <c r="D117" s="734"/>
      <c r="E117" s="734"/>
      <c r="F117" s="734"/>
      <c r="G117" s="734"/>
      <c r="H117" s="734"/>
      <c r="I117" s="734"/>
      <c r="J117" s="734"/>
      <c r="K117" s="735"/>
      <c r="L117" s="498"/>
    </row>
    <row r="118" spans="1:12" customFormat="1" x14ac:dyDescent="0.35">
      <c r="A118" s="495"/>
      <c r="B118" s="733"/>
      <c r="C118" s="734"/>
      <c r="D118" s="734"/>
      <c r="E118" s="734"/>
      <c r="F118" s="734"/>
      <c r="G118" s="734"/>
      <c r="H118" s="734"/>
      <c r="I118" s="734"/>
      <c r="J118" s="734"/>
      <c r="K118" s="735"/>
      <c r="L118" s="498"/>
    </row>
    <row r="119" spans="1:12" customFormat="1" x14ac:dyDescent="0.35">
      <c r="A119" s="495"/>
      <c r="B119" s="736"/>
      <c r="C119" s="737"/>
      <c r="D119" s="737"/>
      <c r="E119" s="737"/>
      <c r="F119" s="737"/>
      <c r="G119" s="737"/>
      <c r="H119" s="737"/>
      <c r="I119" s="737"/>
      <c r="J119" s="737"/>
      <c r="K119" s="738"/>
      <c r="L119" s="498"/>
    </row>
    <row r="120" spans="1:12" customFormat="1" ht="12.65" customHeight="1" x14ac:dyDescent="0.35">
      <c r="A120" s="495"/>
      <c r="B120" s="5"/>
      <c r="C120" s="5"/>
      <c r="D120" s="5"/>
      <c r="E120" s="5"/>
      <c r="F120" s="5"/>
      <c r="G120" s="5"/>
      <c r="H120" s="5"/>
      <c r="I120" s="5"/>
      <c r="J120" s="5"/>
      <c r="K120" s="5"/>
      <c r="L120" s="498"/>
    </row>
    <row r="121" spans="1:12" customFormat="1" hidden="1" x14ac:dyDescent="0.35">
      <c r="A121" s="495"/>
      <c r="B121" s="5"/>
      <c r="C121" s="5"/>
      <c r="D121" s="5"/>
      <c r="E121" s="5"/>
      <c r="F121" s="5"/>
      <c r="G121" s="5"/>
      <c r="H121" s="5"/>
      <c r="I121" s="5"/>
      <c r="J121" s="5"/>
      <c r="K121" s="5"/>
      <c r="L121" s="498"/>
    </row>
    <row r="122" spans="1:12" hidden="1" x14ac:dyDescent="0.35">
      <c r="A122" s="495"/>
      <c r="B122" s="504"/>
      <c r="C122"/>
      <c r="D122" s="6"/>
      <c r="E122" s="6"/>
      <c r="F122" s="6"/>
      <c r="H122" s="6"/>
      <c r="J122" s="6"/>
      <c r="K122" s="6"/>
      <c r="L122" s="498"/>
    </row>
    <row r="123" spans="1:12" hidden="1" x14ac:dyDescent="0.35">
      <c r="A123" s="495"/>
      <c r="B123" s="504"/>
      <c r="C123"/>
      <c r="D123" s="6"/>
      <c r="E123" s="6"/>
      <c r="F123" s="6"/>
      <c r="H123" s="6"/>
      <c r="J123" s="6"/>
      <c r="K123" s="6"/>
      <c r="L123" s="498"/>
    </row>
    <row r="124" spans="1:12" hidden="1" x14ac:dyDescent="0.35">
      <c r="A124" s="495"/>
      <c r="B124"/>
      <c r="C124"/>
      <c r="D124" s="6"/>
      <c r="E124" s="6"/>
      <c r="F124" s="6"/>
      <c r="H124" s="6"/>
      <c r="J124" s="6"/>
      <c r="K124" s="6"/>
      <c r="L124" s="498"/>
    </row>
    <row r="125" spans="1:12" hidden="1" x14ac:dyDescent="0.35">
      <c r="A125" s="495"/>
      <c r="B125"/>
      <c r="C125"/>
      <c r="D125" s="6"/>
      <c r="E125" s="6"/>
      <c r="F125" s="6"/>
      <c r="H125" s="6"/>
      <c r="J125" s="6"/>
      <c r="K125" s="6"/>
      <c r="L125" s="498"/>
    </row>
    <row r="126" spans="1:12" hidden="1" x14ac:dyDescent="0.35">
      <c r="A126" s="495"/>
      <c r="B126" s="505"/>
      <c r="C126"/>
      <c r="D126" s="6"/>
      <c r="E126" s="6"/>
      <c r="F126" s="6"/>
      <c r="H126" s="6"/>
      <c r="J126" s="6"/>
      <c r="K126" s="6"/>
      <c r="L126" s="498"/>
    </row>
    <row r="127" spans="1:12" hidden="1" x14ac:dyDescent="0.35">
      <c r="A127" s="495"/>
      <c r="B127" s="505"/>
      <c r="C127"/>
      <c r="D127" s="6"/>
      <c r="E127" s="6"/>
      <c r="F127" s="6"/>
      <c r="H127" s="6"/>
      <c r="J127" s="6"/>
      <c r="K127" s="6"/>
      <c r="L127" s="498"/>
    </row>
    <row r="128" spans="1:12" hidden="1" x14ac:dyDescent="0.35">
      <c r="A128" s="536"/>
      <c r="B128" s="6"/>
      <c r="C128" s="6"/>
      <c r="D128" s="6"/>
      <c r="E128" s="6"/>
      <c r="F128" s="6"/>
      <c r="H128" s="6"/>
      <c r="J128" s="6"/>
      <c r="K128" s="6"/>
      <c r="L128" s="537"/>
    </row>
    <row r="129" spans="1:12" ht="23.5" x14ac:dyDescent="0.35">
      <c r="A129" s="752"/>
      <c r="B129" s="753"/>
      <c r="C129" s="753"/>
      <c r="D129" s="753"/>
      <c r="E129" s="753"/>
      <c r="F129" s="753"/>
      <c r="G129" s="753"/>
      <c r="H129" s="753"/>
      <c r="I129" s="753"/>
      <c r="J129" s="753"/>
      <c r="K129" s="753"/>
      <c r="L129" s="545"/>
    </row>
  </sheetData>
  <sheetProtection algorithmName="SHA-512" hashValue="B8aOqIK/s/InQaI0RR2jn3bSamUxeZHwXtKhb5RUKG0qC9KJ2AHbJoYj5hj1WlgsRaE/stZUuuvf8B3SfdekzQ==" saltValue="26dHfIkvaMl2cA2e550RMg==" spinCount="100000" sheet="1" objects="1" scenarios="1"/>
  <mergeCells count="10">
    <mergeCell ref="A129:K129"/>
    <mergeCell ref="N6:X6"/>
    <mergeCell ref="B115:K119"/>
    <mergeCell ref="I23:J23"/>
    <mergeCell ref="A2:K2"/>
    <mergeCell ref="B77:G77"/>
    <mergeCell ref="B88:G88"/>
    <mergeCell ref="B95:G95"/>
    <mergeCell ref="B76:G76"/>
    <mergeCell ref="B87:G87"/>
  </mergeCells>
  <conditionalFormatting sqref="B98:B101">
    <cfRule type="expression" dxfId="12" priority="2">
      <formula>#REF!="Contribution"</formula>
    </cfRule>
  </conditionalFormatting>
  <conditionalFormatting sqref="B78:G82">
    <cfRule type="expression" dxfId="11" priority="11">
      <formula>#REF!="Contribution"</formula>
    </cfRule>
  </conditionalFormatting>
  <conditionalFormatting sqref="B89:G92">
    <cfRule type="expression" dxfId="10" priority="9">
      <formula>#REF!="Contribution"</formula>
    </cfRule>
  </conditionalFormatting>
  <conditionalFormatting sqref="G98">
    <cfRule type="containsText" dxfId="9" priority="3" operator="containsText" text="Yes">
      <formula>NOT(ISERROR(SEARCH("Yes",G98)))</formula>
    </cfRule>
    <cfRule type="containsText" dxfId="8" priority="4" operator="containsText" text="NO">
      <formula>NOT(ISERROR(SEARCH("NO",G98)))</formula>
    </cfRule>
  </conditionalFormatting>
  <conditionalFormatting sqref="I80 C98:G101 B96:G97 B102:G112">
    <cfRule type="expression" dxfId="7" priority="13">
      <formula>#REF!="Contribution"</formula>
    </cfRule>
  </conditionalFormatting>
  <conditionalFormatting sqref="I80">
    <cfRule type="containsText" dxfId="6" priority="5" operator="containsText" text="amortization">
      <formula>NOT(ISERROR(SEARCH("amortization",I80)))</formula>
    </cfRule>
    <cfRule type="containsText" dxfId="5" priority="6" operator="containsText" text="40">
      <formula>NOT(ISERROR(SEARCH("40",I80)))</formula>
    </cfRule>
  </conditionalFormatting>
  <conditionalFormatting sqref="I109">
    <cfRule type="expression" dxfId="4" priority="1">
      <formula>#REF!="Contribution"</formula>
    </cfRule>
  </conditionalFormatting>
  <hyperlinks>
    <hyperlink ref="N7" r:id="rId1" location="Profile/1/1/Canada" display="1) You can access the HMI via this link" xr:uid="{00000000-0004-0000-0400-000000000000}"/>
  </hyperlinks>
  <pageMargins left="0.31496062992125984" right="0.31496062992125984" top="0.51181102362204722" bottom="0.82677165354330717" header="0.31496062992125984" footer="0.31496062992125984"/>
  <pageSetup scale="41" fitToHeight="0" orientation="portrait" r:id="rId2"/>
  <headerFooter>
    <oddFooter>Page &amp;P of &amp;N</oddFooter>
  </headerFooter>
  <ignoredErrors>
    <ignoredError sqref="C4 B17:B18 B15:B16" unlockedFormula="1"/>
    <ignoredError sqref="G59"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Button 1">
              <controlPr defaultSize="0" print="0" autoFill="0" autoPict="0" macro="[0]!PrevPage">
                <anchor moveWithCells="1" sizeWithCells="1">
                  <from>
                    <xdr:col>1</xdr:col>
                    <xdr:colOff>342900</xdr:colOff>
                    <xdr:row>121</xdr:row>
                    <xdr:rowOff>31750</xdr:rowOff>
                  </from>
                  <to>
                    <xdr:col>1</xdr:col>
                    <xdr:colOff>1295400</xdr:colOff>
                    <xdr:row>122</xdr:row>
                    <xdr:rowOff>184150</xdr:rowOff>
                  </to>
                </anchor>
              </controlPr>
            </control>
          </mc:Choice>
        </mc:AlternateContent>
        <mc:AlternateContent xmlns:mc="http://schemas.openxmlformats.org/markup-compatibility/2006">
          <mc:Choice Requires="x14">
            <control shapeId="5122" r:id="rId6" name="Button 2">
              <controlPr defaultSize="0" print="0" autoFill="0" autoPict="0" macro="[0]!NextPage">
                <anchor moveWithCells="1" sizeWithCells="1">
                  <from>
                    <xdr:col>1</xdr:col>
                    <xdr:colOff>1593850</xdr:colOff>
                    <xdr:row>121</xdr:row>
                    <xdr:rowOff>31750</xdr:rowOff>
                  </from>
                  <to>
                    <xdr:col>1</xdr:col>
                    <xdr:colOff>2546350</xdr:colOff>
                    <xdr:row>122</xdr:row>
                    <xdr:rowOff>184150</xdr:rowOff>
                  </to>
                </anchor>
              </controlPr>
            </control>
          </mc:Choice>
        </mc:AlternateContent>
        <mc:AlternateContent xmlns:mc="http://schemas.openxmlformats.org/markup-compatibility/2006">
          <mc:Choice Requires="x14">
            <control shapeId="5125" r:id="rId7" name="Button 5">
              <controlPr defaultSize="0" print="0" autoFill="0" autoPict="0" macro="[0]!Reset_Page_RNP">
                <anchor moveWithCells="1" sizeWithCells="1">
                  <from>
                    <xdr:col>1</xdr:col>
                    <xdr:colOff>336550</xdr:colOff>
                    <xdr:row>125</xdr:row>
                    <xdr:rowOff>31750</xdr:rowOff>
                  </from>
                  <to>
                    <xdr:col>1</xdr:col>
                    <xdr:colOff>1289050</xdr:colOff>
                    <xdr:row>127</xdr:row>
                    <xdr:rowOff>19050</xdr:rowOff>
                  </to>
                </anchor>
              </controlPr>
            </control>
          </mc:Choice>
        </mc:AlternateContent>
        <mc:AlternateContent xmlns:mc="http://schemas.openxmlformats.org/markup-compatibility/2006">
          <mc:Choice Requires="x14">
            <control shapeId="5126" r:id="rId8" name="Button 6">
              <controlPr defaultSize="0" print="0" autoFill="0" autoPict="0" macro="[0]!Reset_Page_All">
                <anchor moveWithCells="1" sizeWithCells="1">
                  <from>
                    <xdr:col>1</xdr:col>
                    <xdr:colOff>1562100</xdr:colOff>
                    <xdr:row>125</xdr:row>
                    <xdr:rowOff>31750</xdr:rowOff>
                  </from>
                  <to>
                    <xdr:col>1</xdr:col>
                    <xdr:colOff>2514600</xdr:colOff>
                    <xdr:row>127</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U98"/>
  <sheetViews>
    <sheetView showGridLines="0" zoomScale="85" zoomScaleNormal="85" workbookViewId="0">
      <pane ySplit="1" topLeftCell="A24" activePane="bottomLeft" state="frozen"/>
      <selection activeCell="B23" sqref="B23"/>
      <selection pane="bottomLeft" activeCell="H74" sqref="H74"/>
    </sheetView>
  </sheetViews>
  <sheetFormatPr defaultColWidth="9.1796875" defaultRowHeight="14.5" x14ac:dyDescent="0.35"/>
  <cols>
    <col min="1" max="1" width="2.7265625" customWidth="1"/>
    <col min="2" max="2" width="46.1796875" customWidth="1"/>
    <col min="3" max="3" width="15.7265625" customWidth="1"/>
    <col min="4" max="4" width="17.453125" customWidth="1"/>
    <col min="5" max="5" width="25.81640625" customWidth="1"/>
    <col min="6" max="6" width="23.26953125" customWidth="1"/>
    <col min="7" max="7" width="27.54296875" customWidth="1"/>
    <col min="8" max="8" width="32.26953125" customWidth="1"/>
    <col min="9" max="9" width="13" customWidth="1"/>
    <col min="12" max="12" width="2.7265625" customWidth="1"/>
  </cols>
  <sheetData>
    <row r="1" spans="1:21" ht="15.5" x14ac:dyDescent="0.35">
      <c r="A1" s="89" t="s">
        <v>10</v>
      </c>
      <c r="B1" s="555"/>
      <c r="C1" s="92"/>
      <c r="D1" s="92"/>
    </row>
    <row r="2" spans="1:21" ht="26" x14ac:dyDescent="0.6">
      <c r="A2" s="728" t="s">
        <v>346</v>
      </c>
      <c r="B2" s="729"/>
      <c r="C2" s="729"/>
      <c r="D2" s="729"/>
      <c r="E2" s="729"/>
      <c r="F2" s="729"/>
      <c r="G2" s="729"/>
      <c r="H2" s="729"/>
      <c r="I2" s="729"/>
      <c r="J2" s="729"/>
      <c r="K2" s="729"/>
      <c r="L2" s="492"/>
      <c r="M2" s="556" t="s">
        <v>11</v>
      </c>
      <c r="N2" s="557"/>
      <c r="O2" s="557"/>
      <c r="P2" s="557"/>
      <c r="Q2" s="557"/>
      <c r="R2" s="557"/>
      <c r="S2" s="557"/>
      <c r="T2" s="557"/>
      <c r="U2" s="557"/>
    </row>
    <row r="3" spans="1:21" ht="18.5" x14ac:dyDescent="0.45">
      <c r="A3" s="495"/>
      <c r="D3" s="6"/>
      <c r="E3" s="23"/>
      <c r="L3" s="498"/>
      <c r="M3" s="558" t="s">
        <v>347</v>
      </c>
    </row>
    <row r="4" spans="1:21" ht="18.5" x14ac:dyDescent="0.45">
      <c r="A4" s="495"/>
      <c r="B4" s="552" t="s">
        <v>348</v>
      </c>
      <c r="C4" s="553"/>
      <c r="D4" s="554">
        <f>'Project Budget '!I6</f>
        <v>0</v>
      </c>
      <c r="L4" s="498"/>
      <c r="M4" s="558" t="s">
        <v>349</v>
      </c>
    </row>
    <row r="5" spans="1:21" ht="18.5" x14ac:dyDescent="0.45">
      <c r="A5" s="495"/>
      <c r="B5" s="564"/>
      <c r="C5" s="565"/>
      <c r="L5" s="498"/>
      <c r="M5" s="558" t="s">
        <v>350</v>
      </c>
    </row>
    <row r="6" spans="1:21" x14ac:dyDescent="0.35">
      <c r="A6" s="495"/>
      <c r="F6" s="566"/>
      <c r="L6" s="498"/>
    </row>
    <row r="7" spans="1:21" ht="21.5" x14ac:dyDescent="0.45">
      <c r="A7" s="495"/>
      <c r="B7" s="510" t="s">
        <v>351</v>
      </c>
      <c r="C7" s="511"/>
      <c r="D7" s="512"/>
      <c r="E7" s="512"/>
      <c r="F7" s="511"/>
      <c r="G7" s="513"/>
      <c r="H7" s="510"/>
      <c r="I7" s="514"/>
      <c r="J7" s="511"/>
      <c r="K7" s="511"/>
      <c r="L7" s="498"/>
      <c r="N7" s="645" t="s">
        <v>5</v>
      </c>
      <c r="O7" s="646"/>
      <c r="P7" s="646"/>
      <c r="Q7" s="646"/>
      <c r="R7" s="646"/>
      <c r="S7" s="646"/>
      <c r="T7" s="646"/>
      <c r="U7" s="647"/>
    </row>
    <row r="8" spans="1:21" ht="30" x14ac:dyDescent="0.45">
      <c r="A8" s="495"/>
      <c r="B8" s="187"/>
      <c r="C8" s="188"/>
      <c r="D8" s="184" t="s">
        <v>290</v>
      </c>
      <c r="L8" s="498"/>
      <c r="N8" s="559"/>
      <c r="O8" s="560"/>
      <c r="P8" s="561"/>
      <c r="Q8" s="561"/>
      <c r="R8" s="561"/>
      <c r="S8" s="560"/>
      <c r="T8" s="561"/>
      <c r="U8" s="562"/>
    </row>
    <row r="9" spans="1:21" ht="18.5" x14ac:dyDescent="0.45">
      <c r="A9" s="495"/>
      <c r="B9" s="6" t="s">
        <v>208</v>
      </c>
      <c r="C9" s="146">
        <f>D$4*'Project Budget '!E10</f>
        <v>0</v>
      </c>
      <c r="D9" s="304"/>
      <c r="L9" s="498"/>
      <c r="N9" s="364" t="s">
        <v>6</v>
      </c>
      <c r="O9" s="366" t="s">
        <v>352</v>
      </c>
      <c r="P9" s="366"/>
      <c r="Q9" s="366"/>
      <c r="R9" s="367"/>
      <c r="S9" s="366"/>
      <c r="T9" s="366"/>
      <c r="U9" s="368"/>
    </row>
    <row r="10" spans="1:21" ht="18.5" x14ac:dyDescent="0.45">
      <c r="A10" s="495"/>
      <c r="B10" s="6" t="s">
        <v>211</v>
      </c>
      <c r="C10" s="147">
        <f>D$4*'Project Budget '!E11</f>
        <v>0</v>
      </c>
      <c r="D10" s="304"/>
      <c r="L10" s="498"/>
      <c r="N10" s="364" t="s">
        <v>6</v>
      </c>
      <c r="O10" s="366" t="s">
        <v>353</v>
      </c>
      <c r="P10" s="366"/>
      <c r="Q10" s="366"/>
      <c r="R10" s="367"/>
      <c r="S10" s="366"/>
      <c r="T10" s="366"/>
      <c r="U10" s="368"/>
    </row>
    <row r="11" spans="1:21" ht="18.5" x14ac:dyDescent="0.45">
      <c r="A11" s="495"/>
      <c r="B11" s="6" t="s">
        <v>214</v>
      </c>
      <c r="C11" s="147">
        <f>D$4*'Project Budget '!E12</f>
        <v>0</v>
      </c>
      <c r="D11" s="304"/>
      <c r="L11" s="498"/>
      <c r="N11" s="369"/>
      <c r="O11" s="370"/>
      <c r="P11" s="370"/>
      <c r="Q11" s="370"/>
      <c r="R11" s="371"/>
      <c r="S11" s="370"/>
      <c r="T11" s="370"/>
      <c r="U11" s="372"/>
    </row>
    <row r="12" spans="1:21" x14ac:dyDescent="0.35">
      <c r="A12" s="495"/>
      <c r="B12" s="6" t="s">
        <v>217</v>
      </c>
      <c r="C12" s="147">
        <f>D$4*'Project Budget '!E13</f>
        <v>0</v>
      </c>
      <c r="D12" s="304"/>
      <c r="L12" s="498"/>
    </row>
    <row r="13" spans="1:21" x14ac:dyDescent="0.35">
      <c r="A13" s="495"/>
      <c r="B13" s="6" t="s">
        <v>293</v>
      </c>
      <c r="C13" s="147">
        <f>D$4*'Project Budget '!E14</f>
        <v>0</v>
      </c>
      <c r="D13" s="304"/>
      <c r="L13" s="498"/>
    </row>
    <row r="14" spans="1:21" x14ac:dyDescent="0.35">
      <c r="A14" s="495"/>
      <c r="B14" s="6" t="s">
        <v>354</v>
      </c>
      <c r="C14" s="147">
        <f>D$4*'Project Budget '!E15</f>
        <v>0</v>
      </c>
      <c r="D14" s="304"/>
      <c r="L14" s="498"/>
    </row>
    <row r="15" spans="1:21" x14ac:dyDescent="0.35">
      <c r="A15" s="495"/>
      <c r="B15" s="37" t="str">
        <f>'Project Budget '!B16</f>
        <v>Other (describe)</v>
      </c>
      <c r="C15" s="147">
        <f>D$4*'Project Budget '!E16</f>
        <v>0</v>
      </c>
      <c r="D15" s="304"/>
      <c r="L15" s="498"/>
    </row>
    <row r="16" spans="1:21" x14ac:dyDescent="0.35">
      <c r="A16" s="495"/>
      <c r="B16" s="37" t="str">
        <f>'Project Budget '!B17</f>
        <v>Other (describe)</v>
      </c>
      <c r="C16" s="147">
        <f>D$4*'Project Budget '!E17</f>
        <v>0</v>
      </c>
      <c r="D16" s="304"/>
      <c r="L16" s="498"/>
    </row>
    <row r="17" spans="1:12" x14ac:dyDescent="0.35">
      <c r="A17" s="495"/>
      <c r="B17" s="37" t="str">
        <f>'Project Budget '!B18</f>
        <v>Other (describe)</v>
      </c>
      <c r="C17" s="147">
        <f>D$4*'Project Budget '!E18</f>
        <v>0</v>
      </c>
      <c r="D17" s="304"/>
      <c r="L17" s="498"/>
    </row>
    <row r="18" spans="1:12" x14ac:dyDescent="0.35">
      <c r="A18" s="495"/>
      <c r="B18" s="37" t="str">
        <f>'Project Budget '!B19</f>
        <v>Other (describe)</v>
      </c>
      <c r="C18" s="148">
        <f>D$4*'Project Budget '!E19</f>
        <v>0</v>
      </c>
      <c r="D18" s="304"/>
      <c r="L18" s="498"/>
    </row>
    <row r="19" spans="1:12" ht="15" thickBot="1" x14ac:dyDescent="0.4">
      <c r="A19" s="495"/>
      <c r="B19" s="79" t="s">
        <v>297</v>
      </c>
      <c r="C19" s="250">
        <f>SUM(C9:C18)</f>
        <v>0</v>
      </c>
      <c r="L19" s="498"/>
    </row>
    <row r="20" spans="1:12" ht="15" thickTop="1" x14ac:dyDescent="0.35">
      <c r="A20" s="495"/>
      <c r="L20" s="498"/>
    </row>
    <row r="21" spans="1:12" ht="14.65" hidden="1" customHeight="1" x14ac:dyDescent="0.35">
      <c r="A21" s="495"/>
      <c r="B21" s="243" t="s">
        <v>355</v>
      </c>
      <c r="C21" s="244">
        <f>MIN((C19*(75%-'Project Budget '!C35)),'Project Budget '!I73)</f>
        <v>0</v>
      </c>
      <c r="D21" s="759" t="s">
        <v>451</v>
      </c>
      <c r="E21" s="760"/>
      <c r="F21" s="761"/>
      <c r="G21" s="251"/>
      <c r="H21" s="251"/>
      <c r="L21" s="498"/>
    </row>
    <row r="22" spans="1:12" ht="15" hidden="1" thickBot="1" x14ac:dyDescent="0.4">
      <c r="A22" s="495"/>
      <c r="B22" s="245" t="s">
        <v>356</v>
      </c>
      <c r="C22" s="246">
        <f>'Project Budget '!I74</f>
        <v>0</v>
      </c>
      <c r="D22" s="762"/>
      <c r="E22" s="763"/>
      <c r="F22" s="764"/>
      <c r="G22" s="251"/>
      <c r="H22" s="251"/>
      <c r="L22" s="498"/>
    </row>
    <row r="23" spans="1:12" x14ac:dyDescent="0.35">
      <c r="A23" s="495"/>
      <c r="E23" s="11"/>
      <c r="G23" s="28"/>
      <c r="L23" s="498"/>
    </row>
    <row r="24" spans="1:12" ht="21.5" x14ac:dyDescent="0.35">
      <c r="A24" s="495"/>
      <c r="B24" s="510" t="s">
        <v>357</v>
      </c>
      <c r="C24" s="511"/>
      <c r="D24" s="512"/>
      <c r="E24" s="512"/>
      <c r="F24" s="511"/>
      <c r="G24" s="513"/>
      <c r="H24" s="510"/>
      <c r="I24" s="514"/>
      <c r="J24" s="511"/>
      <c r="K24" s="511"/>
      <c r="L24" s="498"/>
    </row>
    <row r="25" spans="1:12" ht="29" x14ac:dyDescent="0.35">
      <c r="A25" s="495"/>
      <c r="B25" s="45"/>
      <c r="D25" s="151" t="s">
        <v>358</v>
      </c>
      <c r="E25" s="151" t="s">
        <v>305</v>
      </c>
      <c r="F25" s="152" t="s">
        <v>359</v>
      </c>
      <c r="G25" s="141" t="s">
        <v>360</v>
      </c>
      <c r="H25" s="184" t="s">
        <v>290</v>
      </c>
      <c r="L25" s="498"/>
    </row>
    <row r="26" spans="1:12" x14ac:dyDescent="0.35">
      <c r="A26" s="495"/>
      <c r="B26" s="6" t="s">
        <v>361</v>
      </c>
      <c r="D26" s="150"/>
      <c r="E26" s="150"/>
      <c r="F26" s="150"/>
      <c r="G26" s="117">
        <f>E26*F26*12</f>
        <v>0</v>
      </c>
      <c r="H26" s="304"/>
      <c r="L26" s="498"/>
    </row>
    <row r="27" spans="1:12" x14ac:dyDescent="0.35">
      <c r="A27" s="495"/>
      <c r="B27" s="6" t="s">
        <v>362</v>
      </c>
      <c r="D27" s="150"/>
      <c r="E27" s="150"/>
      <c r="F27" s="150"/>
      <c r="G27" s="117">
        <f>E27*F27*12</f>
        <v>0</v>
      </c>
      <c r="H27" s="304"/>
      <c r="L27" s="498"/>
    </row>
    <row r="28" spans="1:12" x14ac:dyDescent="0.35">
      <c r="A28" s="495"/>
      <c r="B28" s="6" t="s">
        <v>363</v>
      </c>
      <c r="D28" s="150"/>
      <c r="E28" s="150"/>
      <c r="F28" s="150"/>
      <c r="G28" s="117">
        <f>E28*F28*12</f>
        <v>0</v>
      </c>
      <c r="H28" s="304"/>
      <c r="L28" s="498"/>
    </row>
    <row r="29" spans="1:12" x14ac:dyDescent="0.35">
      <c r="A29" s="495"/>
      <c r="B29" s="6" t="s">
        <v>364</v>
      </c>
      <c r="D29" s="150"/>
      <c r="E29" s="150"/>
      <c r="F29" s="150"/>
      <c r="G29" s="117">
        <f t="shared" ref="G29:G35" si="0">E29*F29*12</f>
        <v>0</v>
      </c>
      <c r="H29" s="304"/>
      <c r="L29" s="498"/>
    </row>
    <row r="30" spans="1:12" x14ac:dyDescent="0.35">
      <c r="A30" s="495"/>
      <c r="B30" s="6" t="s">
        <v>365</v>
      </c>
      <c r="D30" s="150"/>
      <c r="E30" s="150"/>
      <c r="F30" s="150"/>
      <c r="G30" s="117">
        <f t="shared" si="0"/>
        <v>0</v>
      </c>
      <c r="H30" s="304"/>
      <c r="L30" s="498"/>
    </row>
    <row r="31" spans="1:12" x14ac:dyDescent="0.35">
      <c r="A31" s="495"/>
      <c r="B31" s="6" t="s">
        <v>366</v>
      </c>
      <c r="D31" s="150"/>
      <c r="E31" s="150"/>
      <c r="F31" s="150"/>
      <c r="G31" s="117">
        <f>E31*F31*12</f>
        <v>0</v>
      </c>
      <c r="H31" s="304"/>
      <c r="L31" s="498"/>
    </row>
    <row r="32" spans="1:12" x14ac:dyDescent="0.35">
      <c r="A32" s="495"/>
      <c r="B32" s="87" t="s">
        <v>222</v>
      </c>
      <c r="D32" s="150"/>
      <c r="E32" s="150"/>
      <c r="F32" s="150"/>
      <c r="G32" s="117">
        <f t="shared" si="0"/>
        <v>0</v>
      </c>
      <c r="H32" s="304"/>
      <c r="L32" s="498"/>
    </row>
    <row r="33" spans="1:12" x14ac:dyDescent="0.35">
      <c r="A33" s="495"/>
      <c r="B33" s="87" t="s">
        <v>222</v>
      </c>
      <c r="D33" s="150"/>
      <c r="E33" s="150"/>
      <c r="F33" s="150"/>
      <c r="G33" s="117">
        <f t="shared" si="0"/>
        <v>0</v>
      </c>
      <c r="H33" s="304"/>
      <c r="L33" s="498"/>
    </row>
    <row r="34" spans="1:12" x14ac:dyDescent="0.35">
      <c r="A34" s="495"/>
      <c r="B34" s="87" t="s">
        <v>222</v>
      </c>
      <c r="D34" s="150"/>
      <c r="E34" s="150"/>
      <c r="F34" s="150"/>
      <c r="G34" s="117">
        <f t="shared" si="0"/>
        <v>0</v>
      </c>
      <c r="H34" s="304"/>
      <c r="L34" s="498"/>
    </row>
    <row r="35" spans="1:12" x14ac:dyDescent="0.35">
      <c r="A35" s="495"/>
      <c r="B35" s="87" t="s">
        <v>222</v>
      </c>
      <c r="D35" s="150"/>
      <c r="E35" s="150"/>
      <c r="F35" s="150"/>
      <c r="G35" s="117">
        <f t="shared" si="0"/>
        <v>0</v>
      </c>
      <c r="H35" s="304"/>
      <c r="L35" s="498"/>
    </row>
    <row r="36" spans="1:12" ht="16" x14ac:dyDescent="0.5">
      <c r="A36" s="495"/>
      <c r="B36" s="6" t="s">
        <v>367</v>
      </c>
      <c r="C36" s="6"/>
      <c r="D36" s="6"/>
      <c r="E36" s="6"/>
      <c r="G36" s="189"/>
      <c r="H36" s="304"/>
      <c r="L36" s="498"/>
    </row>
    <row r="37" spans="1:12" x14ac:dyDescent="0.35">
      <c r="A37" s="495"/>
      <c r="B37" s="6" t="s">
        <v>153</v>
      </c>
      <c r="D37" s="156">
        <f>SUM(D26:D35)</f>
        <v>0</v>
      </c>
      <c r="E37" s="156">
        <f>SUM(E26:E35)</f>
        <v>0</v>
      </c>
      <c r="G37" s="117">
        <f>SUM(G26:G36)</f>
        <v>0</v>
      </c>
      <c r="H37" s="304"/>
      <c r="L37" s="498"/>
    </row>
    <row r="38" spans="1:12" x14ac:dyDescent="0.35">
      <c r="A38" s="495"/>
      <c r="B38" s="6" t="s">
        <v>301</v>
      </c>
      <c r="C38" s="6"/>
      <c r="D38" s="6"/>
      <c r="E38" s="6"/>
      <c r="G38" s="190"/>
      <c r="H38" s="304"/>
      <c r="L38" s="498"/>
    </row>
    <row r="39" spans="1:12" x14ac:dyDescent="0.35">
      <c r="A39" s="495"/>
      <c r="B39" s="6" t="s">
        <v>302</v>
      </c>
      <c r="C39" s="6"/>
      <c r="D39" s="6"/>
      <c r="E39" s="6"/>
      <c r="G39" s="118">
        <f>G38*G37</f>
        <v>0</v>
      </c>
      <c r="H39" s="304"/>
      <c r="L39" s="498"/>
    </row>
    <row r="40" spans="1:12" ht="15" thickBot="1" x14ac:dyDescent="0.4">
      <c r="A40" s="495"/>
      <c r="B40" s="79" t="s">
        <v>368</v>
      </c>
      <c r="C40" s="79"/>
      <c r="D40" s="79"/>
      <c r="E40" s="79"/>
      <c r="F40" s="153"/>
      <c r="G40" s="113">
        <f>G37-G39</f>
        <v>0</v>
      </c>
      <c r="L40" s="498"/>
    </row>
    <row r="41" spans="1:12" ht="15" thickTop="1" x14ac:dyDescent="0.35">
      <c r="A41" s="495"/>
      <c r="L41" s="498"/>
    </row>
    <row r="42" spans="1:12" ht="21.5" x14ac:dyDescent="0.35">
      <c r="A42" s="495"/>
      <c r="B42" s="510" t="s">
        <v>369</v>
      </c>
      <c r="C42" s="511"/>
      <c r="D42" s="512"/>
      <c r="E42" s="512"/>
      <c r="F42" s="511"/>
      <c r="G42" s="513"/>
      <c r="H42" s="510"/>
      <c r="I42" s="514"/>
      <c r="J42" s="511"/>
      <c r="K42" s="511"/>
      <c r="L42" s="498"/>
    </row>
    <row r="43" spans="1:12" ht="29" x14ac:dyDescent="0.35">
      <c r="A43" s="495"/>
      <c r="B43" s="27"/>
      <c r="G43" s="149" t="s">
        <v>135</v>
      </c>
      <c r="H43" s="184" t="s">
        <v>290</v>
      </c>
      <c r="L43" s="498"/>
    </row>
    <row r="44" spans="1:12" x14ac:dyDescent="0.35">
      <c r="A44" s="495"/>
      <c r="B44" s="26" t="s">
        <v>318</v>
      </c>
      <c r="G44" s="191"/>
      <c r="H44" s="304"/>
      <c r="L44" s="498"/>
    </row>
    <row r="45" spans="1:12" x14ac:dyDescent="0.35">
      <c r="A45" s="495"/>
      <c r="B45" s="6" t="s">
        <v>319</v>
      </c>
      <c r="G45" s="191"/>
      <c r="H45" s="304"/>
      <c r="L45" s="498"/>
    </row>
    <row r="46" spans="1:12" x14ac:dyDescent="0.35">
      <c r="A46" s="495"/>
      <c r="B46" s="6" t="s">
        <v>370</v>
      </c>
      <c r="G46" s="191"/>
      <c r="H46" s="304"/>
      <c r="L46" s="498"/>
    </row>
    <row r="47" spans="1:12" x14ac:dyDescent="0.35">
      <c r="A47" s="495"/>
      <c r="B47" s="6" t="s">
        <v>371</v>
      </c>
      <c r="G47" s="191"/>
      <c r="H47" s="304"/>
      <c r="L47" s="498"/>
    </row>
    <row r="48" spans="1:12" x14ac:dyDescent="0.35">
      <c r="A48" s="495"/>
      <c r="B48" s="6" t="s">
        <v>372</v>
      </c>
      <c r="G48" s="191"/>
      <c r="H48" s="304"/>
      <c r="L48" s="498"/>
    </row>
    <row r="49" spans="1:12" x14ac:dyDescent="0.35">
      <c r="A49" s="495"/>
      <c r="B49" s="6" t="s">
        <v>323</v>
      </c>
      <c r="G49" s="117">
        <f>SUM(G46:G48)</f>
        <v>0</v>
      </c>
      <c r="H49" s="304"/>
      <c r="L49" s="498"/>
    </row>
    <row r="50" spans="1:12" x14ac:dyDescent="0.35">
      <c r="A50" s="495"/>
      <c r="B50" s="6" t="s">
        <v>324</v>
      </c>
      <c r="G50" s="191"/>
      <c r="H50" s="304"/>
      <c r="L50" s="498"/>
    </row>
    <row r="51" spans="1:12" x14ac:dyDescent="0.35">
      <c r="A51" s="495"/>
      <c r="B51" s="6" t="s">
        <v>325</v>
      </c>
      <c r="G51" s="191"/>
      <c r="H51" s="304"/>
      <c r="L51" s="498"/>
    </row>
    <row r="52" spans="1:12" x14ac:dyDescent="0.35">
      <c r="A52" s="495"/>
      <c r="B52" s="87" t="s">
        <v>222</v>
      </c>
      <c r="G52" s="191"/>
      <c r="H52" s="304"/>
      <c r="L52" s="498"/>
    </row>
    <row r="53" spans="1:12" x14ac:dyDescent="0.35">
      <c r="A53" s="495"/>
      <c r="B53" s="87" t="s">
        <v>222</v>
      </c>
      <c r="G53" s="191"/>
      <c r="H53" s="304"/>
      <c r="L53" s="498"/>
    </row>
    <row r="54" spans="1:12" x14ac:dyDescent="0.35">
      <c r="A54" s="495"/>
      <c r="B54" s="87" t="s">
        <v>222</v>
      </c>
      <c r="G54" s="191"/>
      <c r="H54" s="304"/>
      <c r="L54" s="498"/>
    </row>
    <row r="55" spans="1:12" x14ac:dyDescent="0.35">
      <c r="A55" s="495"/>
      <c r="B55" s="87" t="s">
        <v>222</v>
      </c>
      <c r="G55" s="191"/>
      <c r="H55" s="304"/>
      <c r="L55" s="498"/>
    </row>
    <row r="56" spans="1:12" x14ac:dyDescent="0.35">
      <c r="A56" s="495"/>
      <c r="B56" s="6" t="s">
        <v>373</v>
      </c>
      <c r="F56" s="94"/>
      <c r="G56" s="121">
        <f>F56*$G$40</f>
        <v>0</v>
      </c>
      <c r="H56" s="304"/>
      <c r="L56" s="498"/>
    </row>
    <row r="57" spans="1:12" x14ac:dyDescent="0.35">
      <c r="A57" s="495"/>
      <c r="B57" s="6" t="s">
        <v>374</v>
      </c>
      <c r="F57" s="155"/>
      <c r="G57" s="154">
        <f>F57*$G$40</f>
        <v>0</v>
      </c>
      <c r="H57" s="304"/>
      <c r="L57" s="498"/>
    </row>
    <row r="58" spans="1:12" ht="15" thickBot="1" x14ac:dyDescent="0.4">
      <c r="A58" s="495"/>
      <c r="B58" s="79" t="s">
        <v>329</v>
      </c>
      <c r="C58" s="153"/>
      <c r="D58" s="153"/>
      <c r="E58" s="153"/>
      <c r="F58" s="153"/>
      <c r="G58" s="112">
        <f>SUM(G44:G48,G50:G57)</f>
        <v>0</v>
      </c>
      <c r="H58" s="34"/>
      <c r="I58" s="2"/>
      <c r="J58" s="35"/>
      <c r="L58" s="498"/>
    </row>
    <row r="59" spans="1:12" ht="15.5" thickTop="1" thickBot="1" x14ac:dyDescent="0.4">
      <c r="A59" s="495"/>
      <c r="B59" s="6"/>
      <c r="G59" s="6"/>
      <c r="L59" s="498"/>
    </row>
    <row r="60" spans="1:12" ht="16" thickBot="1" x14ac:dyDescent="0.4">
      <c r="A60" s="495"/>
      <c r="B60" s="142" t="s">
        <v>375</v>
      </c>
      <c r="C60" s="635"/>
      <c r="D60" s="635"/>
      <c r="E60" s="635"/>
      <c r="F60" s="635"/>
      <c r="G60" s="145">
        <f>G40-G58</f>
        <v>0</v>
      </c>
      <c r="L60" s="498"/>
    </row>
    <row r="61" spans="1:12" x14ac:dyDescent="0.35">
      <c r="A61" s="495"/>
      <c r="B61" s="8"/>
      <c r="G61" s="279"/>
      <c r="L61" s="498"/>
    </row>
    <row r="62" spans="1:12" ht="21.5" x14ac:dyDescent="0.35">
      <c r="A62" s="495"/>
      <c r="B62" s="510" t="s">
        <v>376</v>
      </c>
      <c r="C62" s="511"/>
      <c r="D62" s="512"/>
      <c r="E62" s="512"/>
      <c r="F62" s="511"/>
      <c r="G62" s="513"/>
      <c r="H62" s="510"/>
      <c r="I62" s="514"/>
      <c r="J62" s="511"/>
      <c r="K62" s="511"/>
      <c r="L62" s="498"/>
    </row>
    <row r="63" spans="1:12" ht="22" thickBot="1" x14ac:dyDescent="0.4">
      <c r="A63" s="495"/>
      <c r="B63" s="628"/>
      <c r="C63" s="629"/>
      <c r="D63" s="630"/>
      <c r="E63" s="630"/>
      <c r="F63" s="629"/>
      <c r="G63" s="631"/>
      <c r="H63" s="628"/>
      <c r="I63" s="632"/>
      <c r="J63" s="629"/>
      <c r="K63" s="629"/>
      <c r="L63" s="498"/>
    </row>
    <row r="64" spans="1:12" x14ac:dyDescent="0.35">
      <c r="A64" s="495"/>
      <c r="B64" s="608" t="s">
        <v>377</v>
      </c>
      <c r="C64" s="609"/>
      <c r="D64" s="609"/>
      <c r="E64" s="609"/>
      <c r="F64" s="609"/>
      <c r="G64" s="610">
        <f>MIN(C21,C22,G80)</f>
        <v>0</v>
      </c>
      <c r="H64" s="567" t="s">
        <v>378</v>
      </c>
      <c r="I64" s="566"/>
      <c r="J64" s="566"/>
      <c r="K64" s="566"/>
      <c r="L64" s="498"/>
    </row>
    <row r="65" spans="1:12" x14ac:dyDescent="0.35">
      <c r="A65" s="495"/>
      <c r="B65" s="611" t="s">
        <v>379</v>
      </c>
      <c r="C65" s="566"/>
      <c r="D65" s="566"/>
      <c r="E65" s="566"/>
      <c r="F65" s="566"/>
      <c r="G65" s="612">
        <f>'Proforma - Residential'!G79</f>
        <v>0</v>
      </c>
      <c r="H65" s="566"/>
      <c r="I65" s="566"/>
      <c r="J65" s="247"/>
      <c r="K65" s="566"/>
      <c r="L65" s="498"/>
    </row>
    <row r="66" spans="1:12" x14ac:dyDescent="0.35">
      <c r="A66" s="495"/>
      <c r="B66" s="611" t="s">
        <v>380</v>
      </c>
      <c r="C66" s="566"/>
      <c r="D66" s="566"/>
      <c r="E66" s="566"/>
      <c r="F66" s="566"/>
      <c r="G66" s="613">
        <f>'Proforma - Residential'!G80</f>
        <v>0</v>
      </c>
      <c r="H66" s="566"/>
      <c r="I66" s="566"/>
      <c r="J66" s="566"/>
      <c r="K66" s="566"/>
      <c r="L66" s="498"/>
    </row>
    <row r="67" spans="1:12" x14ac:dyDescent="0.35">
      <c r="A67" s="495"/>
      <c r="B67" s="611" t="s">
        <v>342</v>
      </c>
      <c r="C67" s="566"/>
      <c r="D67" s="566"/>
      <c r="E67" s="566"/>
      <c r="F67" s="566"/>
      <c r="G67" s="614">
        <f>IFERROR(IF(G64=0, 0, -PMT((((G65/2)+1)^(1/6))-1, G66*12, G64, 0, 0)),0)</f>
        <v>0</v>
      </c>
      <c r="H67" s="566"/>
      <c r="I67" s="566"/>
      <c r="J67" s="566"/>
      <c r="K67" s="566"/>
      <c r="L67" s="498"/>
    </row>
    <row r="68" spans="1:12" x14ac:dyDescent="0.35">
      <c r="A68" s="495"/>
      <c r="B68" s="611" t="s">
        <v>343</v>
      </c>
      <c r="C68" s="566"/>
      <c r="D68" s="566"/>
      <c r="E68" s="566"/>
      <c r="F68" s="566"/>
      <c r="G68" s="614">
        <f>G67*12</f>
        <v>0</v>
      </c>
      <c r="H68" s="566"/>
      <c r="I68" s="566"/>
      <c r="J68" s="566"/>
      <c r="K68" s="566"/>
      <c r="L68" s="498"/>
    </row>
    <row r="69" spans="1:12" x14ac:dyDescent="0.35">
      <c r="A69" s="495"/>
      <c r="B69" s="611" t="s">
        <v>381</v>
      </c>
      <c r="C69" s="566"/>
      <c r="D69" s="566"/>
      <c r="E69" s="566"/>
      <c r="F69" s="566"/>
      <c r="G69" s="615">
        <f>IF(G68=0, 0, G60/G68)</f>
        <v>0</v>
      </c>
      <c r="H69" s="566"/>
      <c r="I69" s="566"/>
      <c r="J69" s="566"/>
      <c r="K69" s="566"/>
      <c r="L69" s="498"/>
    </row>
    <row r="70" spans="1:12" x14ac:dyDescent="0.35">
      <c r="A70" s="495"/>
      <c r="B70" s="616" t="s">
        <v>452</v>
      </c>
      <c r="C70" s="566"/>
      <c r="D70" s="566"/>
      <c r="E70" s="566"/>
      <c r="F70" s="566"/>
      <c r="G70" s="617" t="str">
        <f>IF(G69&gt;=1.4,"Yes","No")</f>
        <v>No</v>
      </c>
      <c r="H70" s="566"/>
      <c r="I70" s="566"/>
      <c r="J70" s="566"/>
      <c r="K70" s="566"/>
      <c r="L70" s="498"/>
    </row>
    <row r="71" spans="1:12" ht="15" thickBot="1" x14ac:dyDescent="0.4">
      <c r="A71" s="495"/>
      <c r="B71" s="618" t="s">
        <v>382</v>
      </c>
      <c r="C71" s="619"/>
      <c r="D71" s="620" t="s">
        <v>341</v>
      </c>
      <c r="E71" s="620"/>
      <c r="F71" s="621">
        <v>1.4</v>
      </c>
      <c r="G71" s="622">
        <f>IFERROR(IF(G$64=0,0,((G60/F71/12)/(((1+((G65*100)/200))^(1/6)-1)/(1-((1+(G65*100)/200)^(1/6))^(-12*G66))))),0)</f>
        <v>0</v>
      </c>
      <c r="H71" s="249"/>
      <c r="I71" s="566"/>
      <c r="J71" s="566"/>
      <c r="K71" s="566"/>
      <c r="L71" s="498"/>
    </row>
    <row r="72" spans="1:12" ht="15" thickBot="1" x14ac:dyDescent="0.4">
      <c r="A72" s="495"/>
      <c r="B72" s="566"/>
      <c r="C72" s="566"/>
      <c r="D72" s="566"/>
      <c r="E72" s="566"/>
      <c r="F72" s="566"/>
      <c r="G72" s="249"/>
      <c r="H72" s="566"/>
      <c r="I72" s="566"/>
      <c r="J72" s="566"/>
      <c r="K72" s="566"/>
      <c r="L72" s="498"/>
    </row>
    <row r="73" spans="1:12" x14ac:dyDescent="0.35">
      <c r="A73" s="495"/>
      <c r="B73" s="623" t="s">
        <v>453</v>
      </c>
      <c r="C73" s="624"/>
      <c r="D73" s="624"/>
      <c r="E73" s="624"/>
      <c r="F73" s="624"/>
      <c r="G73" s="625">
        <f>MIN(G64,G71,C22)</f>
        <v>0</v>
      </c>
      <c r="H73" s="566"/>
      <c r="I73" s="566"/>
      <c r="J73" s="566"/>
      <c r="K73" s="566"/>
      <c r="L73" s="498"/>
    </row>
    <row r="74" spans="1:12" x14ac:dyDescent="0.35">
      <c r="A74" s="495"/>
      <c r="B74" s="611" t="s">
        <v>342</v>
      </c>
      <c r="C74" s="59"/>
      <c r="D74" s="59"/>
      <c r="E74" s="59"/>
      <c r="F74" s="59"/>
      <c r="G74" s="614">
        <f>IF(G73=0, 0, -PMT((((G65/2)+1)^(1/6))-1, G66*12, G73, 0, 0))</f>
        <v>0</v>
      </c>
      <c r="H74" s="566"/>
      <c r="I74" s="566"/>
      <c r="J74" s="566"/>
      <c r="K74" s="566"/>
      <c r="L74" s="498"/>
    </row>
    <row r="75" spans="1:12" x14ac:dyDescent="0.35">
      <c r="A75" s="495"/>
      <c r="B75" s="611" t="s">
        <v>343</v>
      </c>
      <c r="C75" s="59"/>
      <c r="D75" s="59"/>
      <c r="E75" s="59"/>
      <c r="F75" s="59"/>
      <c r="G75" s="614">
        <f>G74*12</f>
        <v>0</v>
      </c>
      <c r="H75" s="566"/>
      <c r="I75" s="566"/>
      <c r="J75" s="566"/>
      <c r="K75" s="566"/>
      <c r="L75" s="498"/>
    </row>
    <row r="76" spans="1:12" ht="15" thickBot="1" x14ac:dyDescent="0.4">
      <c r="A76" s="495"/>
      <c r="B76" s="618" t="s">
        <v>383</v>
      </c>
      <c r="C76" s="626"/>
      <c r="D76" s="626"/>
      <c r="E76" s="626"/>
      <c r="F76" s="626"/>
      <c r="G76" s="627">
        <f>IF(G75=0, 0, ROUND(G60/G75,2))</f>
        <v>0</v>
      </c>
      <c r="H76" s="566"/>
      <c r="I76" s="566"/>
      <c r="J76" s="566"/>
      <c r="K76" s="566"/>
      <c r="L76" s="498"/>
    </row>
    <row r="77" spans="1:12" ht="15" thickBot="1" x14ac:dyDescent="0.4">
      <c r="A77" s="495"/>
      <c r="B77" s="248"/>
      <c r="C77" s="59"/>
      <c r="D77" s="59"/>
      <c r="E77" s="59"/>
      <c r="F77" s="59"/>
      <c r="G77" s="563"/>
      <c r="H77" s="566"/>
      <c r="I77" s="566"/>
      <c r="J77" s="566"/>
      <c r="K77" s="566"/>
      <c r="L77" s="498"/>
    </row>
    <row r="78" spans="1:12" ht="15.5" x14ac:dyDescent="0.35">
      <c r="A78" s="495"/>
      <c r="B78" s="598" t="s">
        <v>335</v>
      </c>
      <c r="C78" s="270"/>
      <c r="D78" s="270"/>
      <c r="E78" s="271"/>
      <c r="F78" s="284">
        <f>'Proforma - Residential'!F83</f>
        <v>0</v>
      </c>
      <c r="G78" s="280">
        <f>IF(F78=0,0,ROUND(F78,-3))</f>
        <v>0</v>
      </c>
      <c r="H78" s="566"/>
      <c r="I78" s="566"/>
      <c r="J78" s="566"/>
      <c r="K78" s="566"/>
      <c r="L78" s="498"/>
    </row>
    <row r="79" spans="1:12" ht="15.5" x14ac:dyDescent="0.35">
      <c r="A79" s="495"/>
      <c r="B79" s="633" t="s">
        <v>427</v>
      </c>
      <c r="C79" s="268"/>
      <c r="D79" s="268"/>
      <c r="E79" s="269"/>
      <c r="F79" s="6"/>
      <c r="G79" s="282">
        <f>'Proforma - Residential'!G84</f>
        <v>0</v>
      </c>
      <c r="H79" s="566"/>
      <c r="I79" s="566"/>
      <c r="J79" s="566"/>
      <c r="K79" s="566"/>
      <c r="L79" s="498"/>
    </row>
    <row r="80" spans="1:12" ht="15" thickBot="1" x14ac:dyDescent="0.4">
      <c r="A80" s="495"/>
      <c r="B80" s="272" t="s">
        <v>454</v>
      </c>
      <c r="C80" s="273"/>
      <c r="D80" s="273"/>
      <c r="E80" s="274"/>
      <c r="F80" s="275"/>
      <c r="G80" s="283">
        <f>(0.75*G78*'Project Budget '!I6)-(G79*'Project Budget '!I6)-('Project Budget '!E35*'Project Budget '!I6)</f>
        <v>0</v>
      </c>
      <c r="H80" s="566"/>
      <c r="I80" s="566"/>
      <c r="J80" s="566"/>
      <c r="K80" s="566"/>
      <c r="L80" s="498"/>
    </row>
    <row r="81" spans="1:12" x14ac:dyDescent="0.35">
      <c r="A81" s="495"/>
      <c r="B81" s="248"/>
      <c r="C81" s="59"/>
      <c r="D81" s="59"/>
      <c r="E81" s="59"/>
      <c r="F81" s="59"/>
      <c r="G81" s="563"/>
      <c r="H81" s="566"/>
      <c r="I81" s="566"/>
      <c r="J81" s="566"/>
      <c r="K81" s="566"/>
      <c r="L81" s="498"/>
    </row>
    <row r="82" spans="1:12" x14ac:dyDescent="0.35">
      <c r="A82" s="495"/>
      <c r="B82" s="566"/>
      <c r="C82" s="566"/>
      <c r="D82" s="566"/>
      <c r="E82" s="566"/>
      <c r="F82" s="566"/>
      <c r="G82" s="568"/>
      <c r="H82" s="566"/>
      <c r="I82" s="566"/>
      <c r="J82" s="566"/>
      <c r="K82" s="566"/>
      <c r="L82" s="498"/>
    </row>
    <row r="83" spans="1:12" x14ac:dyDescent="0.35">
      <c r="A83" s="495"/>
      <c r="B83" s="192" t="s">
        <v>252</v>
      </c>
      <c r="C83" s="5"/>
      <c r="D83" s="5"/>
      <c r="E83" s="5"/>
      <c r="F83" s="5"/>
      <c r="G83" s="5"/>
      <c r="H83" s="5"/>
      <c r="I83" s="5"/>
      <c r="J83" s="5"/>
      <c r="K83" s="5"/>
      <c r="L83" s="498"/>
    </row>
    <row r="84" spans="1:12" x14ac:dyDescent="0.35">
      <c r="A84" s="495"/>
      <c r="B84" s="730"/>
      <c r="C84" s="731"/>
      <c r="D84" s="731"/>
      <c r="E84" s="731"/>
      <c r="F84" s="731"/>
      <c r="G84" s="731"/>
      <c r="H84" s="731"/>
      <c r="I84" s="731"/>
      <c r="J84" s="731"/>
      <c r="K84" s="732"/>
      <c r="L84" s="498"/>
    </row>
    <row r="85" spans="1:12" x14ac:dyDescent="0.35">
      <c r="A85" s="495"/>
      <c r="B85" s="733"/>
      <c r="C85" s="734"/>
      <c r="D85" s="734"/>
      <c r="E85" s="734"/>
      <c r="F85" s="734"/>
      <c r="G85" s="734"/>
      <c r="H85" s="734"/>
      <c r="I85" s="734"/>
      <c r="J85" s="734"/>
      <c r="K85" s="735"/>
      <c r="L85" s="498"/>
    </row>
    <row r="86" spans="1:12" x14ac:dyDescent="0.35">
      <c r="A86" s="495"/>
      <c r="B86" s="733"/>
      <c r="C86" s="734"/>
      <c r="D86" s="734"/>
      <c r="E86" s="734"/>
      <c r="F86" s="734"/>
      <c r="G86" s="734"/>
      <c r="H86" s="734"/>
      <c r="I86" s="734"/>
      <c r="J86" s="734"/>
      <c r="K86" s="735"/>
      <c r="L86" s="498"/>
    </row>
    <row r="87" spans="1:12" x14ac:dyDescent="0.35">
      <c r="A87" s="495"/>
      <c r="B87" s="733"/>
      <c r="C87" s="734"/>
      <c r="D87" s="734"/>
      <c r="E87" s="734"/>
      <c r="F87" s="734"/>
      <c r="G87" s="734"/>
      <c r="H87" s="734"/>
      <c r="I87" s="734"/>
      <c r="J87" s="734"/>
      <c r="K87" s="735"/>
      <c r="L87" s="498"/>
    </row>
    <row r="88" spans="1:12" x14ac:dyDescent="0.35">
      <c r="A88" s="495"/>
      <c r="B88" s="736"/>
      <c r="C88" s="737"/>
      <c r="D88" s="737"/>
      <c r="E88" s="737"/>
      <c r="F88" s="737"/>
      <c r="G88" s="737"/>
      <c r="H88" s="737"/>
      <c r="I88" s="737"/>
      <c r="J88" s="737"/>
      <c r="K88" s="738"/>
      <c r="L88" s="498"/>
    </row>
    <row r="89" spans="1:12" x14ac:dyDescent="0.35">
      <c r="A89" s="495"/>
      <c r="B89" s="5"/>
      <c r="C89" s="5"/>
      <c r="D89" s="5"/>
      <c r="E89" s="5"/>
      <c r="F89" s="5"/>
      <c r="G89" s="5"/>
      <c r="H89" s="5"/>
      <c r="I89" s="5"/>
      <c r="J89" s="5"/>
      <c r="K89" s="5"/>
      <c r="L89" s="498"/>
    </row>
    <row r="90" spans="1:12" hidden="1" x14ac:dyDescent="0.35">
      <c r="A90" s="495"/>
      <c r="B90" s="5"/>
      <c r="C90" s="5"/>
      <c r="D90" s="5"/>
      <c r="E90" s="5"/>
      <c r="F90" s="5"/>
      <c r="G90" s="5"/>
      <c r="H90" s="5"/>
      <c r="I90" s="5"/>
      <c r="J90" s="5"/>
      <c r="K90" s="5"/>
      <c r="L90" s="498"/>
    </row>
    <row r="91" spans="1:12" hidden="1" x14ac:dyDescent="0.35">
      <c r="A91" s="495"/>
      <c r="B91" s="504"/>
      <c r="G91" s="22"/>
      <c r="L91" s="498"/>
    </row>
    <row r="92" spans="1:12" hidden="1" x14ac:dyDescent="0.35">
      <c r="A92" s="495"/>
      <c r="B92" s="504"/>
      <c r="G92" s="21"/>
      <c r="L92" s="498"/>
    </row>
    <row r="93" spans="1:12" hidden="1" x14ac:dyDescent="0.35">
      <c r="A93" s="495"/>
      <c r="L93" s="498"/>
    </row>
    <row r="94" spans="1:12" hidden="1" x14ac:dyDescent="0.35">
      <c r="A94" s="495"/>
      <c r="L94" s="498"/>
    </row>
    <row r="95" spans="1:12" hidden="1" x14ac:dyDescent="0.35">
      <c r="A95" s="495"/>
      <c r="B95" s="505"/>
      <c r="L95" s="498"/>
    </row>
    <row r="96" spans="1:12" hidden="1" x14ac:dyDescent="0.35">
      <c r="A96" s="495"/>
      <c r="B96" s="505"/>
      <c r="L96" s="498"/>
    </row>
    <row r="97" spans="1:12" hidden="1" x14ac:dyDescent="0.35">
      <c r="A97" s="495"/>
      <c r="L97" s="498"/>
    </row>
    <row r="98" spans="1:12" x14ac:dyDescent="0.35">
      <c r="A98" s="569"/>
      <c r="B98" s="570"/>
      <c r="C98" s="570"/>
      <c r="D98" s="570"/>
      <c r="E98" s="570"/>
      <c r="F98" s="570"/>
      <c r="G98" s="570"/>
      <c r="H98" s="570"/>
      <c r="I98" s="570"/>
      <c r="J98" s="570"/>
      <c r="K98" s="570"/>
      <c r="L98" s="571"/>
    </row>
  </sheetData>
  <sheetProtection algorithmName="SHA-512" hashValue="Cmx29F1eXy6VVQEWC26XxyRfZDckolAczhjkxZtV+rmHex+bhbMnj8wUR2p04QnMrDiardWLSzp5yvGdt4YkBw==" saltValue="u3vL8hGbOX6G3AHjivIX3w==" spinCount="100000" sheet="1" objects="1" scenarios="1"/>
  <mergeCells count="4">
    <mergeCell ref="B84:K88"/>
    <mergeCell ref="D21:F22"/>
    <mergeCell ref="A2:K2"/>
    <mergeCell ref="N7:U7"/>
  </mergeCells>
  <conditionalFormatting sqref="B70">
    <cfRule type="expression" dxfId="3" priority="4">
      <formula>#REF!="Contribution"</formula>
    </cfRule>
  </conditionalFormatting>
  <conditionalFormatting sqref="G70">
    <cfRule type="containsText" dxfId="2" priority="1" operator="containsText" text="No">
      <formula>NOT(ISERROR(SEARCH("No",G70)))</formula>
    </cfRule>
    <cfRule type="containsText" dxfId="1" priority="2" operator="containsText" text="yes">
      <formula>NOT(ISERROR(SEARCH("yes",G70)))</formula>
    </cfRule>
    <cfRule type="expression" dxfId="0" priority="3">
      <formula>#REF!="Contribution"</formula>
    </cfRule>
  </conditionalFormatting>
  <dataValidations count="1">
    <dataValidation type="custom" showInputMessage="1" showErrorMessage="1" sqref="B21:B22" xr:uid="{00000000-0002-0000-0500-000000000000}">
      <formula1>#REF!="Contribution"</formula1>
    </dataValidation>
  </dataValidations>
  <pageMargins left="0.70866141732283472" right="0.70866141732283472" top="0.74803149606299213" bottom="0.74803149606299213" header="0.31496062992125984" footer="0.31496062992125984"/>
  <pageSetup scale="49" orientation="portrait" r:id="rId1"/>
  <ignoredErrors>
    <ignoredError sqref="G73:G76 G71 G67:G69" unlockedFormula="1"/>
    <ignoredError sqref="G49"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PrevPage">
                <anchor moveWithCells="1" sizeWithCells="1">
                  <from>
                    <xdr:col>1</xdr:col>
                    <xdr:colOff>152400</xdr:colOff>
                    <xdr:row>90</xdr:row>
                    <xdr:rowOff>19050</xdr:rowOff>
                  </from>
                  <to>
                    <xdr:col>1</xdr:col>
                    <xdr:colOff>1104900</xdr:colOff>
                    <xdr:row>91</xdr:row>
                    <xdr:rowOff>184150</xdr:rowOff>
                  </to>
                </anchor>
              </controlPr>
            </control>
          </mc:Choice>
        </mc:AlternateContent>
        <mc:AlternateContent xmlns:mc="http://schemas.openxmlformats.org/markup-compatibility/2006">
          <mc:Choice Requires="x14">
            <control shapeId="6146" r:id="rId5" name="Button 2">
              <controlPr defaultSize="0" print="0" autoFill="0" autoPict="0" macro="[0]!Reset_Page_NRP">
                <anchor moveWithCells="1" sizeWithCells="1">
                  <from>
                    <xdr:col>1</xdr:col>
                    <xdr:colOff>114300</xdr:colOff>
                    <xdr:row>94</xdr:row>
                    <xdr:rowOff>19050</xdr:rowOff>
                  </from>
                  <to>
                    <xdr:col>1</xdr:col>
                    <xdr:colOff>1066800</xdr:colOff>
                    <xdr:row>95</xdr:row>
                    <xdr:rowOff>184150</xdr:rowOff>
                  </to>
                </anchor>
              </controlPr>
            </control>
          </mc:Choice>
        </mc:AlternateContent>
        <mc:AlternateContent xmlns:mc="http://schemas.openxmlformats.org/markup-compatibility/2006">
          <mc:Choice Requires="x14">
            <control shapeId="6147" r:id="rId6" name="Button 3">
              <controlPr defaultSize="0" print="0" autoFill="0" autoPict="0" macro="[0]!Reset_Page_All">
                <anchor moveWithCells="1" sizeWithCells="1">
                  <from>
                    <xdr:col>1</xdr:col>
                    <xdr:colOff>1352550</xdr:colOff>
                    <xdr:row>94</xdr:row>
                    <xdr:rowOff>19050</xdr:rowOff>
                  </from>
                  <to>
                    <xdr:col>1</xdr:col>
                    <xdr:colOff>2305050</xdr:colOff>
                    <xdr:row>95</xdr:row>
                    <xdr:rowOff>184150</xdr:rowOff>
                  </to>
                </anchor>
              </controlPr>
            </control>
          </mc:Choice>
        </mc:AlternateContent>
        <mc:AlternateContent xmlns:mc="http://schemas.openxmlformats.org/markup-compatibility/2006">
          <mc:Choice Requires="x14">
            <control shapeId="6152" r:id="rId7" name="Button 8">
              <controlPr defaultSize="0" print="0" autoFill="0" autoPict="0" macro="[0]!NextPage">
                <anchor moveWithCells="1" sizeWithCells="1">
                  <from>
                    <xdr:col>1</xdr:col>
                    <xdr:colOff>1390650</xdr:colOff>
                    <xdr:row>90</xdr:row>
                    <xdr:rowOff>19050</xdr:rowOff>
                  </from>
                  <to>
                    <xdr:col>1</xdr:col>
                    <xdr:colOff>2343150</xdr:colOff>
                    <xdr:row>91</xdr:row>
                    <xdr:rowOff>184150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R54"/>
  <sheetViews>
    <sheetView zoomScale="70" zoomScaleNormal="70" workbookViewId="0">
      <selection activeCell="Q35" sqref="Q35"/>
    </sheetView>
  </sheetViews>
  <sheetFormatPr defaultColWidth="9.1796875" defaultRowHeight="14.5" x14ac:dyDescent="0.35"/>
  <cols>
    <col min="1" max="1" width="2.7265625" style="24" customWidth="1"/>
    <col min="2" max="2" width="26.81640625" style="24" customWidth="1"/>
    <col min="3" max="3" width="19.7265625" style="24" customWidth="1"/>
    <col min="4" max="4" width="25.26953125" style="24" customWidth="1"/>
    <col min="5" max="5" width="23.1796875" style="24" customWidth="1"/>
    <col min="6" max="6" width="18.7265625" style="24" customWidth="1"/>
    <col min="7" max="7" width="9.1796875" style="24"/>
    <col min="8" max="8" width="15" style="24" customWidth="1"/>
    <col min="9" max="11" width="18.7265625" style="24" customWidth="1"/>
    <col min="12" max="12" width="9.1796875" style="24"/>
    <col min="13" max="13" width="2.7265625" style="24" customWidth="1"/>
    <col min="14" max="16384" width="9.1796875" style="24"/>
  </cols>
  <sheetData>
    <row r="1" spans="1:15" ht="11.9" customHeight="1" x14ac:dyDescent="0.35">
      <c r="B1" s="89" t="s">
        <v>10</v>
      </c>
      <c r="C1" s="125"/>
      <c r="D1" s="92"/>
      <c r="E1" s="92"/>
    </row>
    <row r="2" spans="1:15" ht="23.5" x14ac:dyDescent="0.35">
      <c r="A2" s="96"/>
      <c r="B2" s="688" t="s">
        <v>384</v>
      </c>
      <c r="C2" s="688"/>
      <c r="D2" s="688"/>
      <c r="E2" s="688"/>
      <c r="F2" s="688"/>
      <c r="G2" s="688"/>
      <c r="H2" s="688"/>
      <c r="I2" s="688"/>
      <c r="J2" s="688"/>
      <c r="K2" s="688"/>
      <c r="L2" s="688"/>
      <c r="M2" s="96"/>
      <c r="N2" s="309"/>
      <c r="O2" s="309"/>
    </row>
    <row r="3" spans="1:15" x14ac:dyDescent="0.35">
      <c r="A3" s="96"/>
      <c r="D3" s="223"/>
      <c r="E3" s="223"/>
      <c r="F3" s="223"/>
      <c r="G3" s="223"/>
      <c r="H3" s="223"/>
      <c r="I3" s="223"/>
      <c r="M3" s="96"/>
    </row>
    <row r="4" spans="1:15" x14ac:dyDescent="0.35">
      <c r="A4" s="96"/>
      <c r="B4" s="224" t="s">
        <v>260</v>
      </c>
      <c r="C4" s="231" t="str">
        <f>IF('Project Budget '!C51=0,"-",'Project Budget '!C51)</f>
        <v>Repayable Loan</v>
      </c>
      <c r="D4" s="223"/>
      <c r="E4" s="769" t="s">
        <v>385</v>
      </c>
      <c r="F4" s="769"/>
      <c r="G4" s="223"/>
      <c r="H4" s="223"/>
      <c r="I4" s="223"/>
      <c r="M4" s="96"/>
    </row>
    <row r="5" spans="1:15" ht="29" x14ac:dyDescent="0.35">
      <c r="A5" s="96"/>
      <c r="B5" s="224" t="s">
        <v>440</v>
      </c>
      <c r="C5" s="232" t="e">
        <f>'Project Budget '!C68</f>
        <v>#DIV/0!</v>
      </c>
      <c r="E5" s="224" t="s">
        <v>386</v>
      </c>
      <c r="F5" s="576"/>
      <c r="H5" s="769" t="s">
        <v>441</v>
      </c>
      <c r="I5" s="770"/>
      <c r="M5" s="96"/>
    </row>
    <row r="6" spans="1:15" ht="29" x14ac:dyDescent="0.35">
      <c r="A6" s="96"/>
      <c r="B6" s="224" t="s">
        <v>442</v>
      </c>
      <c r="C6" s="232" t="e">
        <f>'Project Budget '!C69</f>
        <v>#DIV/0!</v>
      </c>
      <c r="E6" s="224" t="s">
        <v>387</v>
      </c>
      <c r="F6" s="576"/>
      <c r="H6" s="769"/>
      <c r="I6" s="771"/>
      <c r="M6" s="96"/>
    </row>
    <row r="7" spans="1:15" x14ac:dyDescent="0.35">
      <c r="A7" s="96"/>
      <c r="B7" s="223"/>
      <c r="C7" s="170"/>
      <c r="M7" s="96"/>
    </row>
    <row r="8" spans="1:15" ht="15" thickBot="1" x14ac:dyDescent="0.4">
      <c r="A8" s="96"/>
      <c r="B8" s="223"/>
      <c r="M8" s="96"/>
    </row>
    <row r="9" spans="1:15" ht="15" thickBot="1" x14ac:dyDescent="0.4">
      <c r="A9" s="96"/>
      <c r="C9" s="765" t="s">
        <v>388</v>
      </c>
      <c r="D9" s="766"/>
      <c r="E9" s="766"/>
      <c r="F9" s="767"/>
      <c r="H9" s="765" t="s">
        <v>389</v>
      </c>
      <c r="I9" s="766"/>
      <c r="J9" s="766"/>
      <c r="K9" s="767"/>
      <c r="M9" s="96"/>
    </row>
    <row r="10" spans="1:15" ht="29.5" thickBot="1" x14ac:dyDescent="0.4">
      <c r="A10" s="96"/>
      <c r="C10" s="225" t="s">
        <v>390</v>
      </c>
      <c r="D10" s="226" t="s">
        <v>391</v>
      </c>
      <c r="E10" s="226" t="s">
        <v>392</v>
      </c>
      <c r="F10" s="227" t="s">
        <v>393</v>
      </c>
      <c r="H10" s="225" t="s">
        <v>390</v>
      </c>
      <c r="I10" s="226" t="s">
        <v>391</v>
      </c>
      <c r="J10" s="226" t="s">
        <v>392</v>
      </c>
      <c r="K10" s="227" t="s">
        <v>394</v>
      </c>
      <c r="M10" s="96"/>
    </row>
    <row r="11" spans="1:15" x14ac:dyDescent="0.35">
      <c r="A11" s="96"/>
      <c r="C11" s="228"/>
      <c r="D11" s="230"/>
      <c r="E11" s="109"/>
      <c r="F11" s="310" t="e">
        <f>IF(C4="Repayable Loan",C5-E11,"Not Applicable")</f>
        <v>#DIV/0!</v>
      </c>
      <c r="H11" s="228"/>
      <c r="I11" s="230"/>
      <c r="J11" s="109"/>
      <c r="K11" s="310" t="e">
        <f>IF(C4="Forgivable Loan",(C5+C6)-J11,C6-J11)</f>
        <v>#DIV/0!</v>
      </c>
      <c r="M11" s="96"/>
    </row>
    <row r="12" spans="1:15" x14ac:dyDescent="0.35">
      <c r="A12" s="96"/>
      <c r="C12" s="228"/>
      <c r="D12" s="230"/>
      <c r="E12" s="109"/>
      <c r="F12" s="310" t="str">
        <f>IF(E12&gt;0,F11-E12," ")</f>
        <v xml:space="preserve"> </v>
      </c>
      <c r="H12" s="228"/>
      <c r="I12" s="230"/>
      <c r="J12" s="109"/>
      <c r="K12" s="310" t="str">
        <f>IF(J12&gt;0,K11-J12," ")</f>
        <v xml:space="preserve"> </v>
      </c>
      <c r="M12" s="96"/>
    </row>
    <row r="13" spans="1:15" x14ac:dyDescent="0.35">
      <c r="A13" s="96"/>
      <c r="C13" s="228"/>
      <c r="D13" s="230"/>
      <c r="E13" s="109"/>
      <c r="F13" s="310" t="str">
        <f t="shared" ref="F13:F37" si="0">IF(E13&gt;0,F12-E13," ")</f>
        <v xml:space="preserve"> </v>
      </c>
      <c r="H13" s="228"/>
      <c r="I13" s="230"/>
      <c r="J13" s="109"/>
      <c r="K13" s="310" t="str">
        <f t="shared" ref="K13:K16" si="1">IF(J13&gt;0,K12-J13," ")</f>
        <v xml:space="preserve"> </v>
      </c>
      <c r="M13" s="96"/>
    </row>
    <row r="14" spans="1:15" x14ac:dyDescent="0.35">
      <c r="A14" s="96"/>
      <c r="C14" s="228"/>
      <c r="D14" s="230"/>
      <c r="E14" s="109"/>
      <c r="F14" s="310" t="str">
        <f t="shared" si="0"/>
        <v xml:space="preserve"> </v>
      </c>
      <c r="H14" s="228"/>
      <c r="I14" s="230"/>
      <c r="J14" s="109"/>
      <c r="K14" s="310" t="str">
        <f t="shared" si="1"/>
        <v xml:space="preserve"> </v>
      </c>
      <c r="M14" s="96"/>
    </row>
    <row r="15" spans="1:15" x14ac:dyDescent="0.35">
      <c r="A15" s="96"/>
      <c r="C15" s="228"/>
      <c r="D15" s="230"/>
      <c r="E15" s="109"/>
      <c r="F15" s="310" t="str">
        <f t="shared" si="0"/>
        <v xml:space="preserve"> </v>
      </c>
      <c r="H15" s="228"/>
      <c r="I15" s="230"/>
      <c r="J15" s="109"/>
      <c r="K15" s="310" t="str">
        <f t="shared" si="1"/>
        <v xml:space="preserve"> </v>
      </c>
      <c r="M15" s="96"/>
    </row>
    <row r="16" spans="1:15" ht="15" thickBot="1" x14ac:dyDescent="0.4">
      <c r="A16" s="96"/>
      <c r="C16" s="228"/>
      <c r="D16" s="230"/>
      <c r="E16" s="109"/>
      <c r="F16" s="310" t="str">
        <f t="shared" si="0"/>
        <v xml:space="preserve"> </v>
      </c>
      <c r="H16" s="228"/>
      <c r="I16" s="230"/>
      <c r="J16" s="109"/>
      <c r="K16" s="310" t="str">
        <f t="shared" si="1"/>
        <v xml:space="preserve"> </v>
      </c>
      <c r="M16" s="96"/>
    </row>
    <row r="17" spans="1:13" ht="15" thickBot="1" x14ac:dyDescent="0.4">
      <c r="A17" s="96"/>
      <c r="C17" s="225" t="s">
        <v>153</v>
      </c>
      <c r="D17" s="229"/>
      <c r="E17" s="311">
        <f>SUM(E11:E16)</f>
        <v>0</v>
      </c>
      <c r="F17" s="312" t="e">
        <f>C5-E17</f>
        <v>#DIV/0!</v>
      </c>
      <c r="H17" s="225" t="s">
        <v>153</v>
      </c>
      <c r="I17" s="229"/>
      <c r="J17" s="311">
        <f>SUM(J11:J16)</f>
        <v>0</v>
      </c>
      <c r="K17" s="312" t="e">
        <f>K11+J11-J17</f>
        <v>#DIV/0!</v>
      </c>
      <c r="M17" s="96"/>
    </row>
    <row r="18" spans="1:13" x14ac:dyDescent="0.35">
      <c r="A18" s="96"/>
      <c r="C18" s="228"/>
      <c r="D18" s="230"/>
      <c r="E18" s="109"/>
      <c r="F18" s="310" t="str">
        <f t="shared" si="0"/>
        <v xml:space="preserve"> </v>
      </c>
      <c r="H18" s="228"/>
      <c r="I18" s="230"/>
      <c r="J18" s="109"/>
      <c r="K18" s="310" t="str">
        <f t="shared" ref="K18:K23" si="2">IF(J18&gt;0,K17-J18," ")</f>
        <v xml:space="preserve"> </v>
      </c>
      <c r="M18" s="96"/>
    </row>
    <row r="19" spans="1:13" x14ac:dyDescent="0.35">
      <c r="A19" s="96"/>
      <c r="C19" s="228"/>
      <c r="D19" s="230"/>
      <c r="E19" s="109"/>
      <c r="F19" s="310" t="str">
        <f t="shared" si="0"/>
        <v xml:space="preserve"> </v>
      </c>
      <c r="H19" s="228"/>
      <c r="I19" s="230"/>
      <c r="J19" s="109"/>
      <c r="K19" s="310" t="str">
        <f t="shared" si="2"/>
        <v xml:space="preserve"> </v>
      </c>
      <c r="M19" s="96"/>
    </row>
    <row r="20" spans="1:13" x14ac:dyDescent="0.35">
      <c r="A20" s="96"/>
      <c r="C20" s="228"/>
      <c r="D20" s="230"/>
      <c r="E20" s="109"/>
      <c r="F20" s="310" t="str">
        <f t="shared" si="0"/>
        <v xml:space="preserve"> </v>
      </c>
      <c r="H20" s="228"/>
      <c r="I20" s="230"/>
      <c r="J20" s="109"/>
      <c r="K20" s="310" t="str">
        <f t="shared" si="2"/>
        <v xml:space="preserve"> </v>
      </c>
      <c r="M20" s="96"/>
    </row>
    <row r="21" spans="1:13" x14ac:dyDescent="0.35">
      <c r="A21" s="96"/>
      <c r="C21" s="228"/>
      <c r="D21" s="230"/>
      <c r="E21" s="109"/>
      <c r="F21" s="310" t="str">
        <f t="shared" si="0"/>
        <v xml:space="preserve"> </v>
      </c>
      <c r="H21" s="228"/>
      <c r="I21" s="230"/>
      <c r="J21" s="109"/>
      <c r="K21" s="310" t="str">
        <f t="shared" si="2"/>
        <v xml:space="preserve"> </v>
      </c>
      <c r="M21" s="96"/>
    </row>
    <row r="22" spans="1:13" x14ac:dyDescent="0.35">
      <c r="A22" s="96"/>
      <c r="C22" s="228"/>
      <c r="D22" s="230"/>
      <c r="E22" s="109"/>
      <c r="F22" s="310" t="str">
        <f t="shared" si="0"/>
        <v xml:space="preserve"> </v>
      </c>
      <c r="H22" s="228"/>
      <c r="I22" s="230"/>
      <c r="J22" s="109"/>
      <c r="K22" s="310" t="str">
        <f t="shared" si="2"/>
        <v xml:space="preserve"> </v>
      </c>
      <c r="M22" s="96"/>
    </row>
    <row r="23" spans="1:13" ht="15" thickBot="1" x14ac:dyDescent="0.4">
      <c r="A23" s="96"/>
      <c r="C23" s="228"/>
      <c r="D23" s="230"/>
      <c r="E23" s="109"/>
      <c r="F23" s="310" t="str">
        <f t="shared" si="0"/>
        <v xml:space="preserve"> </v>
      </c>
      <c r="H23" s="228"/>
      <c r="I23" s="230"/>
      <c r="J23" s="109"/>
      <c r="K23" s="310" t="str">
        <f t="shared" si="2"/>
        <v xml:space="preserve"> </v>
      </c>
      <c r="M23" s="96"/>
    </row>
    <row r="24" spans="1:13" ht="15" thickBot="1" x14ac:dyDescent="0.4">
      <c r="A24" s="96"/>
      <c r="C24" s="225" t="s">
        <v>153</v>
      </c>
      <c r="D24" s="229"/>
      <c r="E24" s="311">
        <f>SUM(E18:E23)</f>
        <v>0</v>
      </c>
      <c r="F24" s="312" t="str">
        <f>IF(E24&gt;0,F17-E24,"")</f>
        <v/>
      </c>
      <c r="H24" s="225" t="s">
        <v>153</v>
      </c>
      <c r="I24" s="229"/>
      <c r="J24" s="311">
        <f>SUM(J18:J23)</f>
        <v>0</v>
      </c>
      <c r="K24" s="312" t="str">
        <f>IF(J24&gt;0,K17-J24,"")</f>
        <v/>
      </c>
      <c r="M24" s="96"/>
    </row>
    <row r="25" spans="1:13" x14ac:dyDescent="0.35">
      <c r="A25" s="96"/>
      <c r="C25" s="228"/>
      <c r="D25" s="230"/>
      <c r="E25" s="109"/>
      <c r="F25" s="310" t="str">
        <f t="shared" si="0"/>
        <v xml:space="preserve"> </v>
      </c>
      <c r="H25" s="228"/>
      <c r="I25" s="230"/>
      <c r="J25" s="109"/>
      <c r="K25" s="310" t="str">
        <f t="shared" ref="K25:K30" si="3">IF(J25&gt;0,K24-J25," ")</f>
        <v xml:space="preserve"> </v>
      </c>
      <c r="M25" s="96"/>
    </row>
    <row r="26" spans="1:13" x14ac:dyDescent="0.35">
      <c r="A26" s="96"/>
      <c r="C26" s="228"/>
      <c r="D26" s="230"/>
      <c r="E26" s="109"/>
      <c r="F26" s="310" t="str">
        <f t="shared" si="0"/>
        <v xml:space="preserve"> </v>
      </c>
      <c r="H26" s="228"/>
      <c r="I26" s="230"/>
      <c r="J26" s="109"/>
      <c r="K26" s="310" t="str">
        <f t="shared" si="3"/>
        <v xml:space="preserve"> </v>
      </c>
      <c r="M26" s="96"/>
    </row>
    <row r="27" spans="1:13" x14ac:dyDescent="0.35">
      <c r="A27" s="96"/>
      <c r="C27" s="228"/>
      <c r="D27" s="230"/>
      <c r="E27" s="109"/>
      <c r="F27" s="310" t="str">
        <f t="shared" si="0"/>
        <v xml:space="preserve"> </v>
      </c>
      <c r="H27" s="228"/>
      <c r="I27" s="230"/>
      <c r="J27" s="109"/>
      <c r="K27" s="310" t="str">
        <f t="shared" si="3"/>
        <v xml:space="preserve"> </v>
      </c>
      <c r="M27" s="96"/>
    </row>
    <row r="28" spans="1:13" x14ac:dyDescent="0.35">
      <c r="A28" s="96"/>
      <c r="C28" s="228"/>
      <c r="D28" s="230"/>
      <c r="E28" s="109"/>
      <c r="F28" s="310" t="str">
        <f t="shared" si="0"/>
        <v xml:space="preserve"> </v>
      </c>
      <c r="H28" s="228"/>
      <c r="I28" s="230"/>
      <c r="J28" s="109"/>
      <c r="K28" s="310" t="str">
        <f t="shared" si="3"/>
        <v xml:space="preserve"> </v>
      </c>
      <c r="M28" s="96"/>
    </row>
    <row r="29" spans="1:13" x14ac:dyDescent="0.35">
      <c r="A29" s="96"/>
      <c r="C29" s="228"/>
      <c r="D29" s="230"/>
      <c r="E29" s="109"/>
      <c r="F29" s="310" t="str">
        <f t="shared" si="0"/>
        <v xml:space="preserve"> </v>
      </c>
      <c r="H29" s="228"/>
      <c r="I29" s="230"/>
      <c r="J29" s="109"/>
      <c r="K29" s="310" t="str">
        <f t="shared" si="3"/>
        <v xml:space="preserve"> </v>
      </c>
      <c r="M29" s="96"/>
    </row>
    <row r="30" spans="1:13" ht="15" thickBot="1" x14ac:dyDescent="0.4">
      <c r="A30" s="96"/>
      <c r="C30" s="228"/>
      <c r="D30" s="230"/>
      <c r="E30" s="109"/>
      <c r="F30" s="310" t="str">
        <f t="shared" si="0"/>
        <v xml:space="preserve"> </v>
      </c>
      <c r="H30" s="228"/>
      <c r="I30" s="230"/>
      <c r="J30" s="109"/>
      <c r="K30" s="310" t="str">
        <f t="shared" si="3"/>
        <v xml:space="preserve"> </v>
      </c>
      <c r="M30" s="96"/>
    </row>
    <row r="31" spans="1:13" ht="15" thickBot="1" x14ac:dyDescent="0.4">
      <c r="A31" s="96"/>
      <c r="C31" s="225" t="s">
        <v>153</v>
      </c>
      <c r="D31" s="229"/>
      <c r="E31" s="311">
        <f>SUM(E25:E30)</f>
        <v>0</v>
      </c>
      <c r="F31" s="312" t="str">
        <f>IF(E31&gt;0,F24-E31,"")</f>
        <v/>
      </c>
      <c r="H31" s="225" t="s">
        <v>153</v>
      </c>
      <c r="I31" s="229"/>
      <c r="J31" s="311">
        <f>SUM(J25:J30)</f>
        <v>0</v>
      </c>
      <c r="K31" s="312" t="str">
        <f>IF(J31&gt;0,K24-J31,"")</f>
        <v/>
      </c>
      <c r="M31" s="96"/>
    </row>
    <row r="32" spans="1:13" x14ac:dyDescent="0.35">
      <c r="A32" s="96"/>
      <c r="C32" s="228"/>
      <c r="D32" s="230"/>
      <c r="E32" s="109"/>
      <c r="F32" s="310" t="str">
        <f t="shared" si="0"/>
        <v xml:space="preserve"> </v>
      </c>
      <c r="H32" s="228"/>
      <c r="I32" s="230"/>
      <c r="J32" s="109"/>
      <c r="K32" s="310" t="str">
        <f t="shared" ref="K32:K37" si="4">IF(J32&gt;0,K31-J32," ")</f>
        <v xml:space="preserve"> </v>
      </c>
      <c r="M32" s="96"/>
    </row>
    <row r="33" spans="1:18" x14ac:dyDescent="0.35">
      <c r="A33" s="96"/>
      <c r="C33" s="228"/>
      <c r="D33" s="230"/>
      <c r="E33" s="109"/>
      <c r="F33" s="310" t="str">
        <f t="shared" si="0"/>
        <v xml:space="preserve"> </v>
      </c>
      <c r="H33" s="228"/>
      <c r="I33" s="230"/>
      <c r="J33" s="109"/>
      <c r="K33" s="310" t="str">
        <f t="shared" si="4"/>
        <v xml:space="preserve"> </v>
      </c>
      <c r="M33" s="96"/>
    </row>
    <row r="34" spans="1:18" x14ac:dyDescent="0.35">
      <c r="A34" s="96"/>
      <c r="C34" s="228"/>
      <c r="D34" s="230"/>
      <c r="E34" s="109"/>
      <c r="F34" s="310" t="str">
        <f t="shared" si="0"/>
        <v xml:space="preserve"> </v>
      </c>
      <c r="H34" s="228"/>
      <c r="I34" s="230"/>
      <c r="J34" s="109"/>
      <c r="K34" s="310" t="str">
        <f t="shared" si="4"/>
        <v xml:space="preserve"> </v>
      </c>
      <c r="M34" s="96"/>
    </row>
    <row r="35" spans="1:18" x14ac:dyDescent="0.35">
      <c r="A35" s="96"/>
      <c r="C35" s="228"/>
      <c r="D35" s="230"/>
      <c r="E35" s="109"/>
      <c r="F35" s="310" t="str">
        <f t="shared" si="0"/>
        <v xml:space="preserve"> </v>
      </c>
      <c r="H35" s="228"/>
      <c r="I35" s="230"/>
      <c r="J35" s="109"/>
      <c r="K35" s="310" t="str">
        <f t="shared" si="4"/>
        <v xml:space="preserve"> </v>
      </c>
      <c r="M35" s="96"/>
    </row>
    <row r="36" spans="1:18" x14ac:dyDescent="0.35">
      <c r="A36" s="96"/>
      <c r="C36" s="228"/>
      <c r="D36" s="230"/>
      <c r="E36" s="109"/>
      <c r="F36" s="310" t="str">
        <f t="shared" si="0"/>
        <v xml:space="preserve"> </v>
      </c>
      <c r="H36" s="228"/>
      <c r="I36" s="230"/>
      <c r="J36" s="109"/>
      <c r="K36" s="310" t="str">
        <f t="shared" si="4"/>
        <v xml:space="preserve"> </v>
      </c>
      <c r="M36" s="96"/>
    </row>
    <row r="37" spans="1:18" ht="15" thickBot="1" x14ac:dyDescent="0.4">
      <c r="A37" s="96"/>
      <c r="C37" s="228"/>
      <c r="D37" s="230"/>
      <c r="E37" s="109"/>
      <c r="F37" s="310" t="str">
        <f t="shared" si="0"/>
        <v xml:space="preserve"> </v>
      </c>
      <c r="H37" s="228"/>
      <c r="I37" s="230"/>
      <c r="J37" s="109"/>
      <c r="K37" s="310" t="str">
        <f t="shared" si="4"/>
        <v xml:space="preserve"> </v>
      </c>
      <c r="M37" s="96"/>
    </row>
    <row r="38" spans="1:18" ht="15" thickBot="1" x14ac:dyDescent="0.4">
      <c r="A38" s="96"/>
      <c r="C38" s="225" t="s">
        <v>153</v>
      </c>
      <c r="D38" s="229"/>
      <c r="E38" s="311">
        <f>SUM(E32:E37)</f>
        <v>0</v>
      </c>
      <c r="F38" s="312" t="e">
        <f>C5-E17-E24-E31-E38</f>
        <v>#DIV/0!</v>
      </c>
      <c r="H38" s="225" t="s">
        <v>153</v>
      </c>
      <c r="I38" s="229"/>
      <c r="J38" s="311">
        <f>SUM(J32:J37)</f>
        <v>0</v>
      </c>
      <c r="K38" s="312" t="e">
        <f>K11+J11-J17-J24-J31-J38</f>
        <v>#DIV/0!</v>
      </c>
      <c r="M38" s="96"/>
    </row>
    <row r="39" spans="1:18" x14ac:dyDescent="0.35">
      <c r="A39" s="96"/>
      <c r="M39" s="96"/>
    </row>
    <row r="40" spans="1:18" x14ac:dyDescent="0.35">
      <c r="A40" s="96"/>
      <c r="C40" s="234" t="s">
        <v>395</v>
      </c>
      <c r="M40" s="96"/>
    </row>
    <row r="41" spans="1:18" x14ac:dyDescent="0.35">
      <c r="A41" s="96"/>
      <c r="C41" s="768"/>
      <c r="D41" s="768"/>
      <c r="E41" s="768"/>
      <c r="F41" s="768"/>
      <c r="G41" s="768"/>
      <c r="H41" s="768"/>
      <c r="I41" s="768"/>
      <c r="J41" s="768"/>
      <c r="K41" s="768"/>
      <c r="M41" s="96"/>
    </row>
    <row r="42" spans="1:18" x14ac:dyDescent="0.35">
      <c r="A42" s="96"/>
      <c r="C42" s="768"/>
      <c r="D42" s="768"/>
      <c r="E42" s="768"/>
      <c r="F42" s="768"/>
      <c r="G42" s="768"/>
      <c r="H42" s="768"/>
      <c r="I42" s="768"/>
      <c r="J42" s="768"/>
      <c r="K42" s="768"/>
      <c r="M42" s="96"/>
    </row>
    <row r="43" spans="1:18" x14ac:dyDescent="0.35">
      <c r="A43" s="96"/>
      <c r="C43" s="768"/>
      <c r="D43" s="768"/>
      <c r="E43" s="768"/>
      <c r="F43" s="768"/>
      <c r="G43" s="768"/>
      <c r="H43" s="768"/>
      <c r="I43" s="768"/>
      <c r="J43" s="768"/>
      <c r="K43" s="768"/>
      <c r="M43" s="96"/>
    </row>
    <row r="44" spans="1:18" x14ac:dyDescent="0.35">
      <c r="A44" s="96"/>
      <c r="C44" s="768"/>
      <c r="D44" s="768"/>
      <c r="E44" s="768"/>
      <c r="F44" s="768"/>
      <c r="G44" s="768"/>
      <c r="H44" s="768"/>
      <c r="I44" s="768"/>
      <c r="J44" s="768"/>
      <c r="K44" s="768"/>
      <c r="M44" s="96"/>
    </row>
    <row r="45" spans="1:18" x14ac:dyDescent="0.35">
      <c r="A45" s="96"/>
      <c r="M45" s="96"/>
    </row>
    <row r="46" spans="1:18" hidden="1" x14ac:dyDescent="0.35">
      <c r="A46" s="96"/>
      <c r="M46" s="96"/>
    </row>
    <row r="47" spans="1:18" s="214" customFormat="1" hidden="1" x14ac:dyDescent="0.35">
      <c r="A47" s="95"/>
      <c r="B47" s="42"/>
      <c r="C47" s="42"/>
      <c r="D47" s="42"/>
      <c r="K47" s="24"/>
      <c r="L47" s="24"/>
      <c r="M47" s="95"/>
      <c r="N47" s="24"/>
      <c r="R47" s="215"/>
    </row>
    <row r="48" spans="1:18" s="214" customFormat="1" hidden="1" x14ac:dyDescent="0.35">
      <c r="A48" s="95"/>
      <c r="B48" s="42"/>
      <c r="C48" s="42"/>
      <c r="D48" s="42"/>
      <c r="K48" s="24"/>
      <c r="L48" s="24"/>
      <c r="M48" s="95"/>
      <c r="N48" s="24"/>
      <c r="R48" s="215"/>
    </row>
    <row r="49" spans="1:18" s="214" customFormat="1" hidden="1" x14ac:dyDescent="0.35">
      <c r="A49" s="95"/>
      <c r="K49" s="24"/>
      <c r="L49" s="24"/>
      <c r="M49" s="95"/>
      <c r="N49" s="24"/>
      <c r="R49" s="215"/>
    </row>
    <row r="50" spans="1:18" s="214" customFormat="1" hidden="1" x14ac:dyDescent="0.35">
      <c r="A50" s="95"/>
      <c r="K50" s="24"/>
      <c r="L50" s="24"/>
      <c r="M50" s="95"/>
      <c r="N50" s="24"/>
      <c r="R50" s="215"/>
    </row>
    <row r="51" spans="1:18" s="214" customFormat="1" hidden="1" x14ac:dyDescent="0.35">
      <c r="A51" s="95"/>
      <c r="B51" s="46"/>
      <c r="C51" s="46"/>
      <c r="D51" s="46"/>
      <c r="K51" s="24"/>
      <c r="L51" s="24"/>
      <c r="M51" s="95"/>
      <c r="N51" s="24"/>
      <c r="R51" s="215"/>
    </row>
    <row r="52" spans="1:18" s="214" customFormat="1" hidden="1" x14ac:dyDescent="0.35">
      <c r="A52" s="95"/>
      <c r="B52" s="46"/>
      <c r="C52" s="46"/>
      <c r="D52" s="46"/>
      <c r="K52" s="24"/>
      <c r="L52" s="24"/>
      <c r="M52" s="95"/>
      <c r="N52" s="24"/>
      <c r="R52" s="215"/>
    </row>
    <row r="53" spans="1:18" hidden="1" x14ac:dyDescent="0.35">
      <c r="A53" s="96"/>
      <c r="M53" s="96"/>
    </row>
    <row r="54" spans="1:18" ht="23.5" x14ac:dyDescent="0.35">
      <c r="A54" s="96"/>
      <c r="B54" s="688"/>
      <c r="C54" s="688"/>
      <c r="D54" s="688"/>
      <c r="E54" s="688"/>
      <c r="F54" s="688"/>
      <c r="G54" s="688"/>
      <c r="H54" s="688"/>
      <c r="I54" s="688"/>
      <c r="J54" s="688"/>
      <c r="K54" s="688"/>
      <c r="L54" s="688"/>
      <c r="M54" s="96"/>
    </row>
  </sheetData>
  <sheetProtection algorithmName="SHA-512" hashValue="gK8MiYGqo8WmRS3cP0TdsU46E8nw4ZeX9xYQtjTafqjljqRh9LX8mezWC7xOPkJfP2K1XI/Zb/qwsT1gp7a7Yg==" saltValue="wPOAszF/o8mvgwmOKHTtVA==" spinCount="100000" sheet="1" objects="1" scenarios="1"/>
  <dataConsolidate/>
  <mergeCells count="8">
    <mergeCell ref="C9:F9"/>
    <mergeCell ref="H9:K9"/>
    <mergeCell ref="C41:K44"/>
    <mergeCell ref="B2:L2"/>
    <mergeCell ref="B54:L54"/>
    <mergeCell ref="E4:F4"/>
    <mergeCell ref="H5:H6"/>
    <mergeCell ref="I5:I6"/>
  </mergeCells>
  <pageMargins left="0.7" right="0.7" top="0.75" bottom="0.75" header="0.3" footer="0.3"/>
  <pageSetup orientation="portrait" r:id="rId1"/>
  <ignoredErrors>
    <ignoredError sqref="F2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4" r:id="rId4" name="Button 6">
              <controlPr defaultSize="0" print="0" autoFill="0" autoPict="0" macro="[0]!Reset_Page_DS">
                <anchor moveWithCells="1" sizeWithCells="1">
                  <from>
                    <xdr:col>1</xdr:col>
                    <xdr:colOff>457200</xdr:colOff>
                    <xdr:row>50</xdr:row>
                    <xdr:rowOff>31750</xdr:rowOff>
                  </from>
                  <to>
                    <xdr:col>1</xdr:col>
                    <xdr:colOff>1409700</xdr:colOff>
                    <xdr:row>51</xdr:row>
                    <xdr:rowOff>184150</xdr:rowOff>
                  </to>
                </anchor>
              </controlPr>
            </control>
          </mc:Choice>
        </mc:AlternateContent>
        <mc:AlternateContent xmlns:mc="http://schemas.openxmlformats.org/markup-compatibility/2006">
          <mc:Choice Requires="x14">
            <control shapeId="12295" r:id="rId5" name="Button 7">
              <controlPr defaultSize="0" print="0" autoFill="0" autoPict="0" macro="[0]!Reset_Page_All">
                <anchor moveWithCells="1" sizeWithCells="1">
                  <from>
                    <xdr:col>2</xdr:col>
                    <xdr:colOff>19050</xdr:colOff>
                    <xdr:row>50</xdr:row>
                    <xdr:rowOff>31750</xdr:rowOff>
                  </from>
                  <to>
                    <xdr:col>2</xdr:col>
                    <xdr:colOff>1028700</xdr:colOff>
                    <xdr:row>51</xdr:row>
                    <xdr:rowOff>184150</xdr:rowOff>
                  </to>
                </anchor>
              </controlPr>
            </control>
          </mc:Choice>
        </mc:AlternateContent>
        <mc:AlternateContent xmlns:mc="http://schemas.openxmlformats.org/markup-compatibility/2006">
          <mc:Choice Requires="x14">
            <control shapeId="12296" r:id="rId6" name="Button 8">
              <controlPr defaultSize="0" print="0" autoFill="0" autoPict="0" macro="[0]!PrevPage">
                <anchor moveWithCells="1" sizeWithCells="1">
                  <from>
                    <xdr:col>1</xdr:col>
                    <xdr:colOff>1181100</xdr:colOff>
                    <xdr:row>46</xdr:row>
                    <xdr:rowOff>19050</xdr:rowOff>
                  </from>
                  <to>
                    <xdr:col>2</xdr:col>
                    <xdr:colOff>209550</xdr:colOff>
                    <xdr:row>47</xdr:row>
                    <xdr:rowOff>171450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0e89061-dcba-4752-8c13-2d80aa549020">
      <Terms xmlns="http://schemas.microsoft.com/office/infopath/2007/PartnerControls"/>
    </lcf76f155ced4ddcb4097134ff3c332f>
    <TaxCatchAll xmlns="e2910958-0ca2-4bc3-9b75-a2241b903cf3" xsi:nil="true"/>
    <CMHCEmailFrom xmlns="e2910958-0ca2-4bc3-9b75-a2241b903cf3" xsi:nil="true"/>
    <Status xmlns="40e89061-dcba-4752-8c13-2d80aa549020" xsi:nil="true"/>
    <Phase xmlns="40e89061-dcba-4752-8c13-2d80aa549020" xsi:nil="true"/>
    <hefce771eda34481aa19b2ff85657062 xmlns="e2910958-0ca2-4bc3-9b75-a2241b903cf3">
      <Terms xmlns="http://schemas.microsoft.com/office/infopath/2007/PartnerControls"/>
    </hefce771eda34481aa19b2ff85657062>
    <BusinessLead xmlns="40e89061-dcba-4752-8c13-2d80aa549020">
      <UserInfo>
        <DisplayName/>
        <AccountId xsi:nil="true"/>
        <AccountType/>
      </UserInfo>
    </BusinessLead>
    <FolderChildCount xmlns="http://schemas.microsoft.com/sharepoint/v3" xsi:nil="true"/>
    <PDOLead xmlns="40e89061-dcba-4752-8c13-2d80aa549020">
      <UserInfo>
        <DisplayName/>
        <AccountId xsi:nil="true"/>
        <AccountType/>
      </UserInfo>
    </PDOLead>
    <Language xmlns="40e89061-dcba-4752-8c13-2d80aa549020" xsi:nil="true"/>
    <DocumentSetDescription xmlns="http://schemas.microsoft.com/sharepoint/v3" xsi:nil="true"/>
    <ProjectSponsor xmlns="40e89061-dcba-4752-8c13-2d80aa549020">
      <UserInfo>
        <DisplayName/>
        <AccountId xsi:nil="true"/>
        <AccountType/>
      </UserInfo>
    </ProjectSponsor>
    <ItemChildCount xmlns="http://schemas.microsoft.com/sharepoint/v3" xsi:nil="true"/>
    <DocumentType xmlns="40e89061-dcba-4752-8c13-2d80aa549020" xsi:nil="true"/>
    <Description0 xmlns="40e89061-dcba-4752-8c13-2d80aa549020" xsi:nil="true"/>
    <TaxCatchAllLabel xmlns="e2910958-0ca2-4bc3-9b75-a2241b903cf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9319F0B7DF18D4EA7DB902E58E36A74" ma:contentTypeVersion="45" ma:contentTypeDescription="Create a new document." ma:contentTypeScope="" ma:versionID="e7d084021873f92008161f305cde613c">
  <xsd:schema xmlns:xsd="http://www.w3.org/2001/XMLSchema" xmlns:xs="http://www.w3.org/2001/XMLSchema" xmlns:p="http://schemas.microsoft.com/office/2006/metadata/properties" xmlns:ns1="http://schemas.microsoft.com/sharepoint/v3" xmlns:ns2="40e89061-dcba-4752-8c13-2d80aa549020" xmlns:ns3="e2910958-0ca2-4bc3-9b75-a2241b903cf3" targetNamespace="http://schemas.microsoft.com/office/2006/metadata/properties" ma:root="true" ma:fieldsID="82f531e7e9684c25e104361ad078622a" ns1:_="" ns2:_="" ns3:_="">
    <xsd:import namespace="http://schemas.microsoft.com/sharepoint/v3"/>
    <xsd:import namespace="40e89061-dcba-4752-8c13-2d80aa549020"/>
    <xsd:import namespace="e2910958-0ca2-4bc3-9b75-a2241b903cf3"/>
    <xsd:element name="properties">
      <xsd:complexType>
        <xsd:sequence>
          <xsd:element name="documentManagement">
            <xsd:complexType>
              <xsd:all>
                <xsd:element ref="ns2:Description0" minOccurs="0"/>
                <xsd:element ref="ns3:CMHCEmailFrom" minOccurs="0"/>
                <xsd:element ref="ns1:DocumentSetDescriptio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Metadata" minOccurs="0"/>
                <xsd:element ref="ns2:MediaServiceFastMetadata" minOccurs="0"/>
                <xsd:element ref="ns1:ItemChildCount" minOccurs="0"/>
                <xsd:element ref="ns1:FolderChildCount" minOccurs="0"/>
                <xsd:element ref="ns3:hefce771eda34481aa19b2ff85657062" minOccurs="0"/>
                <xsd:element ref="ns3:TaxCatchAll" minOccurs="0"/>
                <xsd:element ref="ns3:TaxCatchAllLabel" minOccurs="0"/>
                <xsd:element ref="ns2:MediaServiceAutoTags" minOccurs="0"/>
                <xsd:element ref="ns2:MediaServiceDateTaken" minOccurs="0"/>
                <xsd:element ref="ns2:MediaServiceOCR" minOccurs="0"/>
                <xsd:element ref="ns2:MediaServiceAutoKeyPoints" minOccurs="0"/>
                <xsd:element ref="ns2:MediaServiceKeyPoints" minOccurs="0"/>
                <xsd:element ref="ns1:_ip_UnifiedCompliancePolicyProperties" minOccurs="0"/>
                <xsd:element ref="ns1:_ip_UnifiedCompliancePolicyUIAction" minOccurs="0"/>
                <xsd:element ref="ns2:Language" minOccurs="0"/>
                <xsd:element ref="ns2:DocumentType" minOccurs="0"/>
                <xsd:element ref="ns2:Phase" minOccurs="0"/>
                <xsd:element ref="ns2:MediaLengthInSeconds" minOccurs="0"/>
                <xsd:element ref="ns2:PDOLead" minOccurs="0"/>
                <xsd:element ref="ns2:Status" minOccurs="0"/>
                <xsd:element ref="ns2:lcf76f155ced4ddcb4097134ff3c332f" minOccurs="0"/>
                <xsd:element ref="ns2:MediaServiceObjectDetectorVersions" minOccurs="0"/>
                <xsd:element ref="ns2:ProjectSponsor" minOccurs="0"/>
                <xsd:element ref="ns2:BusinessLea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5" nillable="true" ma:displayName="Description" ma:description="A description of the Document Set" ma:hidden="true" ma:internalName="DocumentSetDescription" ma:readOnly="false">
      <xsd:simpleType>
        <xsd:restriction base="dms:Note"/>
      </xsd:simpleType>
    </xsd:element>
    <xsd:element name="ItemChildCount" ma:index="18" nillable="true" ma:displayName="Item Child Count" ma:hidden="true" ma:list="Docs" ma:internalName="ItemChildCount" ma:readOnly="false" ma:showField="ItemChildCount">
      <xsd:simpleType>
        <xsd:restriction base="dms:Lookup"/>
      </xsd:simpleType>
    </xsd:element>
    <xsd:element name="FolderChildCount" ma:index="19" nillable="true" ma:displayName="Folder Child Count" ma:hidden="true" ma:list="Docs" ma:internalName="FolderChildCount" ma:readOnly="false" ma:showField="FolderChildCount">
      <xsd:simpleType>
        <xsd:restriction base="dms:Lookup"/>
      </xsd:simpleType>
    </xsd:element>
    <xsd:element name="_ip_UnifiedCompliancePolicyProperties" ma:index="29" nillable="true" ma:displayName="Unified Compliance Policy Properties" ma:hidden="true" ma:internalName="_ip_UnifiedCompliancePolicyProperties">
      <xsd:simpleType>
        <xsd:restriction base="dms:Note"/>
      </xsd:simpleType>
    </xsd:element>
    <xsd:element name="_ip_UnifiedCompliancePolicyUIAction" ma:index="3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e89061-dcba-4752-8c13-2d80aa549020" elementFormDefault="qualified">
    <xsd:import namespace="http://schemas.microsoft.com/office/2006/documentManagement/types"/>
    <xsd:import namespace="http://schemas.microsoft.com/office/infopath/2007/PartnerControls"/>
    <xsd:element name="Description0" ma:index="2" nillable="true" ma:displayName="Description" ma:format="Dropdown" ma:internalName="Description0">
      <xsd:simpleType>
        <xsd:restriction base="dms:Text">
          <xsd:maxLength value="255"/>
        </xsd:restriction>
      </xsd:simpleType>
    </xsd:element>
    <xsd:element name="MediaServiceLocation" ma:index="6" nillable="true" ma:displayName="Location" ma:hidden="true" ma:internalName="MediaServiceLocation" ma:readOnly="true">
      <xsd:simpleType>
        <xsd:restriction base="dms:Text"/>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Tags" ma:index="24" nillable="true" ma:displayName="Tags" ma:hidden="true" ma:internalName="MediaServiceAutoTags" ma:readOnly="true">
      <xsd:simpleType>
        <xsd:restriction base="dms:Text"/>
      </xsd:simpleType>
    </xsd:element>
    <xsd:element name="MediaServiceDateTaken" ma:index="25" nillable="true" ma:displayName="MediaServiceDateTaken" ma:hidden="true" ma:internalName="MediaServiceDateTaken" ma:readOnly="true">
      <xsd:simpleType>
        <xsd:restriction base="dms:Text"/>
      </xsd:simpleType>
    </xsd:element>
    <xsd:element name="MediaServiceOCR" ma:index="26" nillable="true" ma:displayName="Extracted Text" ma:hidden="true" ma:internalName="MediaServiceOCR"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Language" ma:index="31" nillable="true" ma:displayName="Language" ma:format="Dropdown" ma:internalName="Language">
      <xsd:simpleType>
        <xsd:restriction base="dms:Choice">
          <xsd:enumeration value="English"/>
          <xsd:enumeration value="Français"/>
          <xsd:enumeration value="Bilingual"/>
        </xsd:restriction>
      </xsd:simpleType>
    </xsd:element>
    <xsd:element name="DocumentType" ma:index="32" nillable="true" ma:displayName="Document Type" ma:format="Dropdown" ma:internalName="DocumentType">
      <xsd:simpleType>
        <xsd:restriction base="dms:Choice">
          <xsd:enumeration value="Presentation/Comms"/>
          <xsd:enumeration value="Maps &amp; RASCIs"/>
          <xsd:enumeration value="Data Collection"/>
          <xsd:enumeration value="Project Management"/>
          <xsd:enumeration value="Reference material/Background"/>
          <xsd:enumeration value="DMAIC/DMEDI Tools"/>
          <xsd:enumeration value="Meetings"/>
          <xsd:enumeration value="Interview"/>
        </xsd:restriction>
      </xsd:simpleType>
    </xsd:element>
    <xsd:element name="Phase" ma:index="33" nillable="true" ma:displayName="Project Phase" ma:format="Dropdown" ma:internalName="Phase">
      <xsd:simpleType>
        <xsd:restriction base="dms:Choice">
          <xsd:enumeration value="DMAIC Project"/>
          <xsd:enumeration value="DMEDI project"/>
          <xsd:enumeration value="Mapping Project"/>
          <xsd:enumeration value="Other Project"/>
          <xsd:enumeration value="Project Management"/>
          <xsd:enumeration value="Define"/>
          <xsd:enumeration value="Measure"/>
          <xsd:enumeration value="Analyze"/>
          <xsd:enumeration value="Explore"/>
          <xsd:enumeration value="Improve"/>
          <xsd:enumeration value="Design"/>
          <xsd:enumeration value="Control"/>
          <xsd:enumeration value="Implement"/>
        </xsd:restriction>
      </xsd:simpleType>
    </xsd:element>
    <xsd:element name="MediaLengthInSeconds" ma:index="34" nillable="true" ma:displayName="Length (seconds)" ma:internalName="MediaLengthInSeconds" ma:readOnly="true">
      <xsd:simpleType>
        <xsd:restriction base="dms:Unknown"/>
      </xsd:simpleType>
    </xsd:element>
    <xsd:element name="PDOLead" ma:index="35" nillable="true" ma:displayName="PDO Lead" ma:format="Dropdown" ma:list="UserInfo" ma:SharePointGroup="0" ma:internalName="PDO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36" nillable="true" ma:displayName="Status" ma:format="Dropdown" ma:internalName="Status">
      <xsd:simpleType>
        <xsd:restriction base="dms:Choice">
          <xsd:enumeration value="Not started"/>
          <xsd:enumeration value="In progress"/>
          <xsd:enumeration value="Complete"/>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9" nillable="true" ma:displayName="MediaServiceObjectDetectorVersions" ma:hidden="true" ma:indexed="true" ma:internalName="MediaServiceObjectDetectorVersions" ma:readOnly="true">
      <xsd:simpleType>
        <xsd:restriction base="dms:Text"/>
      </xsd:simpleType>
    </xsd:element>
    <xsd:element name="ProjectSponsor" ma:index="40" nillable="true" ma:displayName="Project Sponsor" ma:format="Dropdown" ma:list="UserInfo" ma:SharePointGroup="0" ma:internalName="ProjectSponso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sinessLead" ma:index="41" nillable="true" ma:displayName="Business Lead" ma:format="Dropdown" ma:list="UserInfo" ma:SharePointGroup="0" ma:internalName="BusinessLead">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910958-0ca2-4bc3-9b75-a2241b903cf3" elementFormDefault="qualified">
    <xsd:import namespace="http://schemas.microsoft.com/office/2006/documentManagement/types"/>
    <xsd:import namespace="http://schemas.microsoft.com/office/infopath/2007/PartnerControls"/>
    <xsd:element name="CMHCEmailFrom" ma:index="3" nillable="true" ma:displayName="From" ma:internalName="CMHCEmailFrom" ma:readOnly="false">
      <xsd:simpleType>
        <xsd:restriction base="dms:Text">
          <xsd:maxLength value="255"/>
        </xsd:restriction>
      </xsd:simpleType>
    </xsd:element>
    <xsd:element name="SharedWithUsers" ma:index="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hidden="true" ma:internalName="SharedWithDetails" ma:readOnly="true">
      <xsd:simpleType>
        <xsd:restriction base="dms:Note"/>
      </xsd:simpleType>
    </xsd:element>
    <xsd:element name="hefce771eda34481aa19b2ff85657062" ma:index="21" nillable="true" ma:taxonomy="true" ma:internalName="hefce771eda34481aa19b2ff85657062" ma:taxonomyFieldName="CMHCProjectStatus" ma:displayName="Project Status" ma:readOnly="false" ma:fieldId="{1efce771-eda3-4481-aa19-b2ff85657062}" ma:sspId="07fd80b5-5c51-4f3a-abc1-25962529aad1" ma:termSetId="67d48cf6-dd58-4963-855b-1c1fbc572f56"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babc193b-e253-45dc-876f-7c77476e388e}" ma:internalName="TaxCatchAll" ma:readOnly="false" ma:showField="CatchAllData" ma:web="e2910958-0ca2-4bc3-9b75-a2241b903cf3">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abc193b-e253-45dc-876f-7c77476e388e}" ma:internalName="TaxCatchAllLabel" ma:readOnly="false" ma:showField="CatchAllDataLabel" ma:web="e2910958-0ca2-4bc3-9b75-a2241b903c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7DE90-4BBA-4815-A257-949EB11C17DD}">
  <ds:schemaRefs>
    <ds:schemaRef ds:uri="http://schemas.microsoft.com/office/2006/metadata/properties"/>
    <ds:schemaRef ds:uri="http://schemas.microsoft.com/office/infopath/2007/PartnerControls"/>
    <ds:schemaRef ds:uri="http://schemas.microsoft.com/sharepoint/v3"/>
    <ds:schemaRef ds:uri="035cdabc-3f94-4df0-a48f-07930e046d36"/>
    <ds:schemaRef ds:uri="affd3e1f-8e07-4051-aa12-6fc8716163df"/>
    <ds:schemaRef ds:uri="40e89061-dcba-4752-8c13-2d80aa549020"/>
    <ds:schemaRef ds:uri="e2910958-0ca2-4bc3-9b75-a2241b903cf3"/>
  </ds:schemaRefs>
</ds:datastoreItem>
</file>

<file path=customXml/itemProps2.xml><?xml version="1.0" encoding="utf-8"?>
<ds:datastoreItem xmlns:ds="http://schemas.openxmlformats.org/officeDocument/2006/customXml" ds:itemID="{9CDF7443-45CC-4624-A16E-E8CAFBDD08FF}">
  <ds:schemaRefs>
    <ds:schemaRef ds:uri="http://schemas.microsoft.com/sharepoint/v3/contenttype/forms"/>
  </ds:schemaRefs>
</ds:datastoreItem>
</file>

<file path=customXml/itemProps3.xml><?xml version="1.0" encoding="utf-8"?>
<ds:datastoreItem xmlns:ds="http://schemas.openxmlformats.org/officeDocument/2006/customXml" ds:itemID="{239D01BD-E7B5-4AB9-B735-272444FCA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e89061-dcba-4752-8c13-2d80aa549020"/>
    <ds:schemaRef ds:uri="e2910958-0ca2-4bc3-9b75-a2241b903c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Disclaimer</vt:lpstr>
      <vt:lpstr>Scoring Grid</vt:lpstr>
      <vt:lpstr>Rents &amp; Affordability</vt:lpstr>
      <vt:lpstr>Project Budget </vt:lpstr>
      <vt:lpstr>Proforma - Residential</vt:lpstr>
      <vt:lpstr>Proforma - Non-Residential</vt:lpstr>
      <vt:lpstr>Drawdown Schedule </vt:lpstr>
      <vt:lpstr>DS_Fills</vt:lpstr>
      <vt:lpstr>NPR_Loan</vt:lpstr>
      <vt:lpstr>NRP_Comments</vt:lpstr>
      <vt:lpstr>NRPFills</vt:lpstr>
      <vt:lpstr>PB_Comments</vt:lpstr>
      <vt:lpstr>PBFills</vt:lpstr>
      <vt:lpstr>'Scoring Grid'!PG_Fills</vt:lpstr>
      <vt:lpstr>R_Units</vt:lpstr>
      <vt:lpstr>RA_Fills</vt:lpstr>
      <vt:lpstr>RNP_Comments</vt:lpstr>
      <vt:lpstr>S_Area</vt:lpstr>
      <vt:lpstr>S_Area1</vt:lpstr>
      <vt:lpstr>S_Area2</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divancak</dc:creator>
  <cp:keywords/>
  <dc:description/>
  <cp:lastModifiedBy>Chuck Casault</cp:lastModifiedBy>
  <cp:revision/>
  <dcterms:created xsi:type="dcterms:W3CDTF">2018-02-06T18:55:12Z</dcterms:created>
  <dcterms:modified xsi:type="dcterms:W3CDTF">2024-03-25T19:19:57Z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0x01010049319F0B7DF18D4EA7DB902E58E36A74</vt:lpwstr>
  </property>
  <property fmtid="{D5CDD505-2E9C-101B-9397-08002B2CF9AE}" pid="3" name="MediaServiceImageTags">
    <vt:lpwstr/>
  </property>
  <property fmtid="{D5CDD505-2E9C-101B-9397-08002B2CF9AE}" pid="4" name="CMHCProjectStatus">
    <vt:lpwstr/>
  </property>
</Properties>
</file>